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ndre\Dropbox\Engenharia\COMPLEXO ESPORTIVO\"/>
    </mc:Choice>
  </mc:AlternateContent>
  <bookViews>
    <workbookView xWindow="-120" yWindow="-120" windowWidth="20730" windowHeight="11310" firstSheet="1" activeTab="4"/>
  </bookViews>
  <sheets>
    <sheet name="Planilha orçamentária" sheetId="1" r:id="rId1"/>
    <sheet name="Memória de Cálculo " sheetId="2" r:id="rId2"/>
    <sheet name="Composições" sheetId="5" r:id="rId3"/>
    <sheet name="C. Próprias" sheetId="7" r:id="rId4"/>
    <sheet name="Cronograma Físico-Financeiro" sheetId="8" r:id="rId5"/>
  </sheets>
  <externalReferences>
    <externalReference r:id="rId6"/>
  </externalReferences>
  <definedNames>
    <definedName name="_xlnm.Print_Titles" localSheetId="3">'C. Próprias'!$1:$6</definedName>
    <definedName name="_xlnm.Print_Titles" localSheetId="2">Composições!$1:$6</definedName>
    <definedName name="_xlnm.Print_Titles" localSheetId="1">'Memória de Cálculo '!$1:$4</definedName>
    <definedName name="_xlnm.Print_Titles" localSheetId="0">'Planilha orçamentária'!$1:$6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4" i="8" l="1"/>
  <c r="T19" i="8"/>
  <c r="T22" i="8" s="1"/>
  <c r="R17" i="8"/>
  <c r="H14" i="8"/>
  <c r="D19" i="8"/>
  <c r="V19" i="8" s="1"/>
  <c r="V22" i="8" s="1"/>
  <c r="D18" i="8"/>
  <c r="J18" i="8" s="1"/>
  <c r="D17" i="8"/>
  <c r="P17" i="8" s="1"/>
  <c r="P22" i="8" s="1"/>
  <c r="D16" i="8"/>
  <c r="F16" i="8" s="1"/>
  <c r="D15" i="8"/>
  <c r="F15" i="8" s="1"/>
  <c r="D14" i="8"/>
  <c r="I299" i="1"/>
  <c r="I8" i="1"/>
  <c r="B20" i="8"/>
  <c r="B19" i="8"/>
  <c r="B18" i="8"/>
  <c r="B17" i="8"/>
  <c r="B16" i="8"/>
  <c r="B15" i="8"/>
  <c r="B14" i="8"/>
  <c r="A20" i="8"/>
  <c r="A19" i="8"/>
  <c r="A18" i="8"/>
  <c r="A17" i="8"/>
  <c r="A16" i="8"/>
  <c r="A15" i="8"/>
  <c r="A14" i="8"/>
  <c r="L18" i="8" l="1"/>
  <c r="L22" i="8" s="1"/>
  <c r="R19" i="8"/>
  <c r="R22" i="8" s="1"/>
  <c r="X19" i="8"/>
  <c r="J17" i="8"/>
  <c r="H15" i="8"/>
  <c r="Z19" i="8"/>
  <c r="L17" i="8"/>
  <c r="J15" i="8"/>
  <c r="H18" i="8"/>
  <c r="N17" i="8"/>
  <c r="N22" i="8" s="1"/>
  <c r="J22" i="8" l="1"/>
  <c r="F83" i="1" l="1"/>
  <c r="H83" i="1"/>
  <c r="I83" i="1" l="1"/>
  <c r="F136" i="1"/>
  <c r="G78" i="1" l="1"/>
  <c r="H78" i="1" s="1"/>
  <c r="I78" i="1" s="1"/>
  <c r="G77" i="1"/>
  <c r="G76" i="1"/>
  <c r="C76" i="1"/>
  <c r="D76" i="1"/>
  <c r="C77" i="1"/>
  <c r="D77" i="1"/>
  <c r="C78" i="1"/>
  <c r="D78" i="1"/>
  <c r="B78" i="1"/>
  <c r="B77" i="1"/>
  <c r="B76" i="1"/>
  <c r="H12" i="7"/>
  <c r="H10" i="7"/>
  <c r="H8" i="7"/>
  <c r="A4" i="7"/>
  <c r="E2" i="7"/>
  <c r="H7" i="7" l="1"/>
  <c r="H9" i="7"/>
  <c r="H11" i="7"/>
  <c r="G212" i="1" l="1"/>
  <c r="C212" i="1"/>
  <c r="D212" i="1"/>
  <c r="B212" i="1"/>
  <c r="G244" i="1"/>
  <c r="I244" i="1" s="1"/>
  <c r="C244" i="1"/>
  <c r="D244" i="1"/>
  <c r="B244" i="1"/>
  <c r="G252" i="1"/>
  <c r="I252" i="1" s="1"/>
  <c r="C252" i="1"/>
  <c r="D252" i="1"/>
  <c r="B252" i="1"/>
  <c r="G276" i="1"/>
  <c r="I276" i="1" s="1"/>
  <c r="C276" i="1"/>
  <c r="D276" i="1"/>
  <c r="B276" i="1"/>
  <c r="G275" i="1"/>
  <c r="C275" i="1"/>
  <c r="D275" i="1"/>
  <c r="B275" i="1"/>
  <c r="C289" i="1"/>
  <c r="D289" i="1"/>
  <c r="B289" i="1"/>
  <c r="H84" i="5"/>
  <c r="H83" i="5"/>
  <c r="H82" i="5"/>
  <c r="H81" i="5"/>
  <c r="H79" i="5"/>
  <c r="H78" i="5"/>
  <c r="H77" i="5"/>
  <c r="H75" i="5"/>
  <c r="H74" i="5"/>
  <c r="H73" i="5"/>
  <c r="H72" i="5"/>
  <c r="H71" i="5"/>
  <c r="H69" i="5"/>
  <c r="H68" i="5"/>
  <c r="H67" i="5"/>
  <c r="H65" i="5"/>
  <c r="H64" i="5"/>
  <c r="H63" i="5"/>
  <c r="H62" i="5"/>
  <c r="I298" i="1"/>
  <c r="H298" i="1"/>
  <c r="I297" i="1"/>
  <c r="H297" i="1"/>
  <c r="I296" i="1"/>
  <c r="H296" i="1"/>
  <c r="I295" i="1"/>
  <c r="H295" i="1"/>
  <c r="I294" i="1"/>
  <c r="H294" i="1"/>
  <c r="I293" i="1"/>
  <c r="H293" i="1"/>
  <c r="I292" i="1"/>
  <c r="H292" i="1"/>
  <c r="H291" i="1"/>
  <c r="F291" i="1"/>
  <c r="I291" i="1" s="1"/>
  <c r="I290" i="1"/>
  <c r="H290" i="1"/>
  <c r="I287" i="1"/>
  <c r="H287" i="1"/>
  <c r="I286" i="1"/>
  <c r="H286" i="1"/>
  <c r="I285" i="1"/>
  <c r="H285" i="1"/>
  <c r="I284" i="1"/>
  <c r="H284" i="1"/>
  <c r="I283" i="1"/>
  <c r="H283" i="1"/>
  <c r="I282" i="1"/>
  <c r="H282" i="1"/>
  <c r="I281" i="1"/>
  <c r="H281" i="1"/>
  <c r="H275" i="1"/>
  <c r="I274" i="1"/>
  <c r="H274" i="1"/>
  <c r="I273" i="1"/>
  <c r="H273" i="1"/>
  <c r="I272" i="1"/>
  <c r="H272" i="1"/>
  <c r="I271" i="1"/>
  <c r="H271" i="1"/>
  <c r="I270" i="1"/>
  <c r="H270" i="1"/>
  <c r="I269" i="1"/>
  <c r="H269" i="1"/>
  <c r="I268" i="1"/>
  <c r="H268" i="1"/>
  <c r="I267" i="1"/>
  <c r="H267" i="1"/>
  <c r="I266" i="1"/>
  <c r="H266" i="1"/>
  <c r="I265" i="1"/>
  <c r="H265" i="1"/>
  <c r="I264" i="1"/>
  <c r="H264" i="1"/>
  <c r="I263" i="1"/>
  <c r="H263" i="1"/>
  <c r="I262" i="1"/>
  <c r="H262" i="1"/>
  <c r="I261" i="1"/>
  <c r="H261" i="1"/>
  <c r="I260" i="1"/>
  <c r="H260" i="1"/>
  <c r="I259" i="1"/>
  <c r="H259" i="1"/>
  <c r="I258" i="1"/>
  <c r="H258" i="1"/>
  <c r="I257" i="1"/>
  <c r="H257" i="1"/>
  <c r="I256" i="1"/>
  <c r="H256" i="1"/>
  <c r="I254" i="1"/>
  <c r="H254" i="1"/>
  <c r="I253" i="1"/>
  <c r="H253" i="1"/>
  <c r="I251" i="1"/>
  <c r="H251" i="1"/>
  <c r="I250" i="1"/>
  <c r="H250" i="1"/>
  <c r="I248" i="1"/>
  <c r="H248" i="1"/>
  <c r="H247" i="1"/>
  <c r="F247" i="1"/>
  <c r="I247" i="1" s="1"/>
  <c r="I246" i="1"/>
  <c r="H246" i="1"/>
  <c r="I245" i="1"/>
  <c r="H245" i="1"/>
  <c r="I243" i="1"/>
  <c r="H243" i="1"/>
  <c r="I242" i="1"/>
  <c r="H242" i="1"/>
  <c r="I241" i="1"/>
  <c r="H241" i="1"/>
  <c r="I240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1" i="1"/>
  <c r="H231" i="1"/>
  <c r="I230" i="1"/>
  <c r="H230" i="1"/>
  <c r="I229" i="1"/>
  <c r="H229" i="1"/>
  <c r="I228" i="1"/>
  <c r="H228" i="1"/>
  <c r="I227" i="1"/>
  <c r="H227" i="1"/>
  <c r="I226" i="1"/>
  <c r="H226" i="1"/>
  <c r="I225" i="1"/>
  <c r="H225" i="1"/>
  <c r="I224" i="1"/>
  <c r="H224" i="1"/>
  <c r="I279" i="1"/>
  <c r="H279" i="1"/>
  <c r="I278" i="1"/>
  <c r="H278" i="1"/>
  <c r="I222" i="1"/>
  <c r="I221" i="1" s="1"/>
  <c r="H222" i="1"/>
  <c r="H220" i="1"/>
  <c r="F220" i="1"/>
  <c r="I220" i="1" s="1"/>
  <c r="I219" i="1"/>
  <c r="H219" i="1"/>
  <c r="I218" i="1"/>
  <c r="H218" i="1"/>
  <c r="I217" i="1"/>
  <c r="H217" i="1"/>
  <c r="I216" i="1"/>
  <c r="H216" i="1"/>
  <c r="H214" i="1"/>
  <c r="F214" i="1"/>
  <c r="I214" i="1" s="1"/>
  <c r="I213" i="1" s="1"/>
  <c r="F212" i="1"/>
  <c r="H211" i="1"/>
  <c r="F211" i="1"/>
  <c r="I211" i="1" s="1"/>
  <c r="I280" i="1" l="1"/>
  <c r="I215" i="1"/>
  <c r="H276" i="1"/>
  <c r="H80" i="5"/>
  <c r="H76" i="5"/>
  <c r="H70" i="5"/>
  <c r="H66" i="5"/>
  <c r="H61" i="5"/>
  <c r="I275" i="1"/>
  <c r="I255" i="1" s="1"/>
  <c r="I277" i="1"/>
  <c r="I223" i="1"/>
  <c r="I212" i="1"/>
  <c r="I210" i="1" s="1"/>
  <c r="I232" i="1"/>
  <c r="H244" i="1"/>
  <c r="I249" i="1"/>
  <c r="H212" i="1"/>
  <c r="H252" i="1"/>
  <c r="I19" i="2"/>
  <c r="B56" i="1"/>
  <c r="C56" i="1"/>
  <c r="D56" i="1"/>
  <c r="H60" i="5"/>
  <c r="H59" i="5"/>
  <c r="H58" i="5"/>
  <c r="H57" i="5"/>
  <c r="H56" i="5"/>
  <c r="I95" i="2"/>
  <c r="F95" i="2" s="1"/>
  <c r="F82" i="1" s="1"/>
  <c r="D94" i="2"/>
  <c r="E95" i="2"/>
  <c r="D95" i="2"/>
  <c r="C95" i="2"/>
  <c r="B95" i="2"/>
  <c r="A95" i="2"/>
  <c r="A94" i="2"/>
  <c r="F142" i="2"/>
  <c r="F114" i="1" s="1"/>
  <c r="I141" i="2"/>
  <c r="F141" i="2" s="1"/>
  <c r="F113" i="1" s="1"/>
  <c r="H82" i="1"/>
  <c r="B142" i="2"/>
  <c r="C142" i="2"/>
  <c r="D142" i="2"/>
  <c r="E142" i="2"/>
  <c r="E141" i="2"/>
  <c r="D141" i="2"/>
  <c r="C141" i="2"/>
  <c r="B141" i="2"/>
  <c r="A141" i="2"/>
  <c r="D140" i="2"/>
  <c r="A140" i="2"/>
  <c r="H114" i="1"/>
  <c r="H113" i="1"/>
  <c r="H55" i="5" l="1"/>
  <c r="G56" i="1" s="1"/>
  <c r="I113" i="1"/>
  <c r="I114" i="1"/>
  <c r="I82" i="1"/>
  <c r="I81" i="1" s="1"/>
  <c r="G123" i="2"/>
  <c r="G122" i="2"/>
  <c r="G121" i="2"/>
  <c r="I123" i="2"/>
  <c r="I122" i="2"/>
  <c r="I121" i="2"/>
  <c r="H139" i="2"/>
  <c r="C37" i="1"/>
  <c r="D37" i="1"/>
  <c r="B37" i="1"/>
  <c r="F48" i="2"/>
  <c r="F28" i="2"/>
  <c r="A39" i="2"/>
  <c r="B39" i="2"/>
  <c r="C39" i="2"/>
  <c r="D39" i="2"/>
  <c r="E39" i="2"/>
  <c r="H39" i="1"/>
  <c r="I39" i="1" s="1"/>
  <c r="D29" i="1"/>
  <c r="C29" i="1"/>
  <c r="B29" i="1"/>
  <c r="I112" i="1" l="1"/>
  <c r="A249" i="2" l="1"/>
  <c r="B249" i="2"/>
  <c r="C249" i="2"/>
  <c r="D249" i="2"/>
  <c r="E249" i="2"/>
  <c r="F206" i="1"/>
  <c r="H206" i="1"/>
  <c r="F205" i="1"/>
  <c r="F251" i="2"/>
  <c r="F208" i="1" s="1"/>
  <c r="F250" i="2"/>
  <c r="F207" i="1" s="1"/>
  <c r="F247" i="2"/>
  <c r="F204" i="1" s="1"/>
  <c r="A250" i="2"/>
  <c r="B250" i="2"/>
  <c r="C250" i="2"/>
  <c r="D250" i="2"/>
  <c r="E250" i="2"/>
  <c r="A251" i="2"/>
  <c r="B251" i="2"/>
  <c r="C251" i="2"/>
  <c r="D251" i="2"/>
  <c r="E251" i="2"/>
  <c r="A248" i="2"/>
  <c r="B248" i="2"/>
  <c r="C248" i="2"/>
  <c r="D248" i="2"/>
  <c r="E248" i="2"/>
  <c r="B247" i="2"/>
  <c r="C247" i="2"/>
  <c r="D247" i="2"/>
  <c r="E247" i="2"/>
  <c r="A247" i="2"/>
  <c r="H204" i="1"/>
  <c r="H205" i="1"/>
  <c r="D246" i="2"/>
  <c r="A246" i="2"/>
  <c r="I206" i="1" l="1"/>
  <c r="I205" i="1"/>
  <c r="I204" i="1"/>
  <c r="H208" i="1"/>
  <c r="H207" i="1"/>
  <c r="F215" i="2"/>
  <c r="F172" i="1" s="1"/>
  <c r="F213" i="2"/>
  <c r="F216" i="2" s="1"/>
  <c r="F173" i="1" s="1"/>
  <c r="F167" i="1"/>
  <c r="F168" i="1"/>
  <c r="F169" i="1"/>
  <c r="F170" i="1"/>
  <c r="F171" i="1"/>
  <c r="F174" i="1"/>
  <c r="F175" i="1"/>
  <c r="F176" i="1"/>
  <c r="F177" i="1"/>
  <c r="F178" i="1"/>
  <c r="A215" i="2"/>
  <c r="B215" i="2"/>
  <c r="C215" i="2"/>
  <c r="D215" i="2"/>
  <c r="E215" i="2"/>
  <c r="A216" i="2"/>
  <c r="B216" i="2"/>
  <c r="C216" i="2"/>
  <c r="D216" i="2"/>
  <c r="E216" i="2"/>
  <c r="A213" i="2"/>
  <c r="B213" i="2"/>
  <c r="C213" i="2"/>
  <c r="D213" i="2"/>
  <c r="E213" i="2"/>
  <c r="F166" i="1"/>
  <c r="F9" i="2"/>
  <c r="I133" i="2"/>
  <c r="H141" i="1"/>
  <c r="I207" i="1" l="1"/>
  <c r="I208" i="1"/>
  <c r="A181" i="2"/>
  <c r="B181" i="2"/>
  <c r="C181" i="2"/>
  <c r="D181" i="2"/>
  <c r="E181" i="2"/>
  <c r="G155" i="2"/>
  <c r="I155" i="2"/>
  <c r="I148" i="2"/>
  <c r="I152" i="2"/>
  <c r="I157" i="2"/>
  <c r="H181" i="2" s="1"/>
  <c r="F181" i="2" s="1"/>
  <c r="F141" i="1" s="1"/>
  <c r="I141" i="1" s="1"/>
  <c r="I150" i="2"/>
  <c r="G150" i="2"/>
  <c r="G152" i="2"/>
  <c r="G131" i="2"/>
  <c r="I129" i="2"/>
  <c r="I131" i="2"/>
  <c r="C136" i="2"/>
  <c r="D136" i="2"/>
  <c r="E136" i="2"/>
  <c r="C137" i="2"/>
  <c r="D137" i="2"/>
  <c r="E137" i="2"/>
  <c r="A136" i="2"/>
  <c r="A137" i="2"/>
  <c r="B137" i="2"/>
  <c r="B136" i="2"/>
  <c r="H109" i="1"/>
  <c r="H108" i="1"/>
  <c r="C155" i="2"/>
  <c r="D155" i="2"/>
  <c r="E155" i="2"/>
  <c r="A155" i="2"/>
  <c r="B155" i="2"/>
  <c r="C148" i="2"/>
  <c r="D148" i="2"/>
  <c r="E148" i="2"/>
  <c r="C152" i="2"/>
  <c r="D152" i="2"/>
  <c r="E152" i="2"/>
  <c r="C153" i="2"/>
  <c r="D153" i="2"/>
  <c r="E153" i="2"/>
  <c r="A148" i="2"/>
  <c r="A152" i="2"/>
  <c r="A153" i="2"/>
  <c r="B148" i="2"/>
  <c r="B152" i="2"/>
  <c r="B153" i="2"/>
  <c r="A161" i="2"/>
  <c r="A162" i="2"/>
  <c r="C161" i="2"/>
  <c r="D161" i="2"/>
  <c r="E161" i="2"/>
  <c r="C162" i="2"/>
  <c r="D162" i="2"/>
  <c r="E162" i="2"/>
  <c r="B162" i="2"/>
  <c r="B161" i="2"/>
  <c r="D160" i="2"/>
  <c r="A160" i="2"/>
  <c r="D154" i="2"/>
  <c r="A154" i="2"/>
  <c r="D147" i="2"/>
  <c r="A147" i="2"/>
  <c r="D144" i="2"/>
  <c r="A144" i="2"/>
  <c r="D143" i="2"/>
  <c r="A143" i="2"/>
  <c r="D138" i="2"/>
  <c r="A138" i="2"/>
  <c r="D130" i="2"/>
  <c r="A130" i="2"/>
  <c r="D119" i="2"/>
  <c r="A119" i="2"/>
  <c r="C145" i="2"/>
  <c r="D145" i="2"/>
  <c r="E145" i="2"/>
  <c r="C146" i="2"/>
  <c r="D146" i="2"/>
  <c r="E146" i="2"/>
  <c r="A146" i="2"/>
  <c r="B146" i="2"/>
  <c r="B145" i="2"/>
  <c r="A145" i="2"/>
  <c r="C131" i="2"/>
  <c r="D131" i="2"/>
  <c r="E131" i="2"/>
  <c r="B131" i="2"/>
  <c r="A131" i="2"/>
  <c r="I126" i="2"/>
  <c r="G132" i="2"/>
  <c r="I132" i="2"/>
  <c r="I156" i="2" s="1"/>
  <c r="I135" i="2"/>
  <c r="I159" i="2" s="1"/>
  <c r="I134" i="2"/>
  <c r="I158" i="2" s="1"/>
  <c r="C120" i="2"/>
  <c r="D120" i="2"/>
  <c r="E120" i="2"/>
  <c r="B120" i="2"/>
  <c r="A120" i="2"/>
  <c r="I203" i="1" l="1"/>
  <c r="F145" i="2"/>
  <c r="F117" i="1" s="1"/>
  <c r="F120" i="2"/>
  <c r="F105" i="1" s="1"/>
  <c r="F148" i="2"/>
  <c r="F120" i="1" s="1"/>
  <c r="F155" i="2"/>
  <c r="F124" i="1" s="1"/>
  <c r="F152" i="2"/>
  <c r="F121" i="1" s="1"/>
  <c r="F131" i="2"/>
  <c r="F146" i="2"/>
  <c r="E139" i="2"/>
  <c r="D139" i="2"/>
  <c r="C139" i="2"/>
  <c r="B139" i="2"/>
  <c r="A139" i="2"/>
  <c r="H113" i="2"/>
  <c r="A113" i="2"/>
  <c r="B113" i="2"/>
  <c r="C113" i="2"/>
  <c r="D113" i="2"/>
  <c r="E113" i="2"/>
  <c r="A114" i="2"/>
  <c r="B114" i="2"/>
  <c r="C114" i="2"/>
  <c r="D114" i="2"/>
  <c r="E114" i="2"/>
  <c r="A116" i="2"/>
  <c r="B116" i="2"/>
  <c r="C116" i="2"/>
  <c r="D116" i="2"/>
  <c r="E116" i="2"/>
  <c r="C112" i="2"/>
  <c r="D112" i="2"/>
  <c r="E112" i="2"/>
  <c r="B112" i="2"/>
  <c r="A112" i="2"/>
  <c r="A108" i="2"/>
  <c r="D111" i="2"/>
  <c r="D110" i="2"/>
  <c r="A111" i="2"/>
  <c r="A110" i="2"/>
  <c r="H101" i="1"/>
  <c r="H102" i="1"/>
  <c r="H103" i="1"/>
  <c r="F153" i="2" l="1"/>
  <c r="F122" i="1" s="1"/>
  <c r="F107" i="1"/>
  <c r="F136" i="2"/>
  <c r="F108" i="1" s="1"/>
  <c r="I108" i="1" s="1"/>
  <c r="F137" i="2"/>
  <c r="F109" i="1" s="1"/>
  <c r="I109" i="1" s="1"/>
  <c r="F161" i="2"/>
  <c r="F118" i="1"/>
  <c r="I108" i="2"/>
  <c r="F126" i="1" l="1"/>
  <c r="F162" i="2"/>
  <c r="F127" i="1" s="1"/>
  <c r="F108" i="2"/>
  <c r="F109" i="2" s="1"/>
  <c r="F97" i="1" s="1"/>
  <c r="I112" i="2"/>
  <c r="F112" i="2" s="1"/>
  <c r="F96" i="1" l="1"/>
  <c r="I113" i="2"/>
  <c r="F100" i="1"/>
  <c r="I114" i="2" l="1"/>
  <c r="I116" i="2" s="1"/>
  <c r="F116" i="2" s="1"/>
  <c r="F113" i="2"/>
  <c r="F101" i="1" s="1"/>
  <c r="I101" i="1" s="1"/>
  <c r="F114" i="2" l="1"/>
  <c r="F102" i="1" s="1"/>
  <c r="I102" i="1" s="1"/>
  <c r="I139" i="2" l="1"/>
  <c r="F103" i="1"/>
  <c r="I103" i="1" s="1"/>
  <c r="F139" i="2" l="1"/>
  <c r="F111" i="1" s="1"/>
  <c r="B108" i="2"/>
  <c r="C108" i="2"/>
  <c r="D108" i="2"/>
  <c r="E108" i="2"/>
  <c r="B109" i="2"/>
  <c r="C109" i="2"/>
  <c r="D109" i="2"/>
  <c r="E109" i="2"/>
  <c r="A109" i="2"/>
  <c r="D107" i="2"/>
  <c r="A107" i="2"/>
  <c r="H96" i="1"/>
  <c r="I96" i="1" s="1"/>
  <c r="F149" i="1" l="1"/>
  <c r="F150" i="1"/>
  <c r="F152" i="1"/>
  <c r="F157" i="1"/>
  <c r="F159" i="1"/>
  <c r="F160" i="1"/>
  <c r="F161" i="1"/>
  <c r="F182" i="1"/>
  <c r="F184" i="1"/>
  <c r="F194" i="1"/>
  <c r="F195" i="1"/>
  <c r="F196" i="1"/>
  <c r="F198" i="1"/>
  <c r="F199" i="1"/>
  <c r="F201" i="1"/>
  <c r="F202" i="1"/>
  <c r="A185" i="2"/>
  <c r="B185" i="2"/>
  <c r="C185" i="2"/>
  <c r="D185" i="2"/>
  <c r="E185" i="2"/>
  <c r="C184" i="2"/>
  <c r="D184" i="2"/>
  <c r="E184" i="2"/>
  <c r="B184" i="2"/>
  <c r="A184" i="2"/>
  <c r="F174" i="2"/>
  <c r="F180" i="2"/>
  <c r="F140" i="1" s="1"/>
  <c r="A180" i="2"/>
  <c r="B180" i="2"/>
  <c r="C180" i="2"/>
  <c r="D180" i="2"/>
  <c r="E180" i="2"/>
  <c r="A182" i="2"/>
  <c r="B182" i="2"/>
  <c r="C182" i="2"/>
  <c r="D182" i="2"/>
  <c r="E182" i="2"/>
  <c r="I184" i="2"/>
  <c r="F184" i="2" s="1"/>
  <c r="F144" i="1" s="1"/>
  <c r="A175" i="2"/>
  <c r="B175" i="2"/>
  <c r="C175" i="2"/>
  <c r="D175" i="2"/>
  <c r="E175" i="2"/>
  <c r="B178" i="2" l="1"/>
  <c r="C178" i="2"/>
  <c r="D178" i="2"/>
  <c r="E178" i="2"/>
  <c r="B176" i="2"/>
  <c r="C176" i="2"/>
  <c r="D176" i="2"/>
  <c r="E176" i="2"/>
  <c r="A178" i="2"/>
  <c r="A176" i="2"/>
  <c r="A173" i="2"/>
  <c r="B173" i="2"/>
  <c r="C173" i="2"/>
  <c r="A171" i="2"/>
  <c r="B171" i="2"/>
  <c r="C171" i="2"/>
  <c r="E171" i="2"/>
  <c r="E173" i="2"/>
  <c r="D173" i="2"/>
  <c r="D171" i="2"/>
  <c r="F172" i="2"/>
  <c r="F173" i="2"/>
  <c r="F175" i="2"/>
  <c r="F137" i="1" s="1"/>
  <c r="F171" i="2"/>
  <c r="H138" i="1"/>
  <c r="F177" i="2"/>
  <c r="F178" i="2"/>
  <c r="F179" i="2"/>
  <c r="F176" i="2"/>
  <c r="H139" i="1"/>
  <c r="H142" i="1"/>
  <c r="F168" i="2"/>
  <c r="F133" i="1" s="1"/>
  <c r="F131" i="1"/>
  <c r="F132" i="1"/>
  <c r="F130" i="1"/>
  <c r="B165" i="2"/>
  <c r="C165" i="2"/>
  <c r="D165" i="2"/>
  <c r="E165" i="2"/>
  <c r="B166" i="2"/>
  <c r="C166" i="2"/>
  <c r="D166" i="2"/>
  <c r="E166" i="2"/>
  <c r="B167" i="2"/>
  <c r="C167" i="2"/>
  <c r="D167" i="2"/>
  <c r="E167" i="2"/>
  <c r="B168" i="2"/>
  <c r="C168" i="2"/>
  <c r="D168" i="2"/>
  <c r="E168" i="2"/>
  <c r="A165" i="2"/>
  <c r="A166" i="2"/>
  <c r="A167" i="2"/>
  <c r="A168" i="2"/>
  <c r="D183" i="2"/>
  <c r="A183" i="2"/>
  <c r="D169" i="2"/>
  <c r="A169" i="2"/>
  <c r="D164" i="2"/>
  <c r="A164" i="2"/>
  <c r="D163" i="2"/>
  <c r="H133" i="1"/>
  <c r="H132" i="1"/>
  <c r="H131" i="1"/>
  <c r="I131" i="1" s="1"/>
  <c r="H130" i="1"/>
  <c r="H137" i="1"/>
  <c r="H136" i="1"/>
  <c r="H135" i="1"/>
  <c r="A186" i="2"/>
  <c r="F104" i="2"/>
  <c r="F138" i="1" l="1"/>
  <c r="I138" i="1" s="1"/>
  <c r="I137" i="1"/>
  <c r="F139" i="1"/>
  <c r="I139" i="1" s="1"/>
  <c r="F182" i="2"/>
  <c r="F142" i="1" s="1"/>
  <c r="I142" i="1" s="1"/>
  <c r="F185" i="2"/>
  <c r="F145" i="1" s="1"/>
  <c r="F135" i="1"/>
  <c r="I135" i="1" s="1"/>
  <c r="I136" i="1"/>
  <c r="I132" i="1"/>
  <c r="I133" i="1"/>
  <c r="I130" i="1"/>
  <c r="H67" i="1"/>
  <c r="F93" i="1"/>
  <c r="F92" i="1"/>
  <c r="F70" i="1"/>
  <c r="F68" i="1"/>
  <c r="F67" i="1" s="1"/>
  <c r="F66" i="1"/>
  <c r="I129" i="1" l="1"/>
  <c r="I67" i="1"/>
  <c r="H173" i="1"/>
  <c r="H172" i="1"/>
  <c r="H170" i="1"/>
  <c r="D198" i="1"/>
  <c r="H54" i="5"/>
  <c r="H53" i="5"/>
  <c r="H52" i="5"/>
  <c r="H51" i="5"/>
  <c r="H50" i="5"/>
  <c r="D154" i="1"/>
  <c r="B154" i="1"/>
  <c r="H48" i="5"/>
  <c r="H47" i="5"/>
  <c r="H46" i="5"/>
  <c r="H45" i="5"/>
  <c r="I173" i="1" l="1"/>
  <c r="I172" i="1"/>
  <c r="I170" i="1"/>
  <c r="H49" i="5"/>
  <c r="G198" i="1" s="1"/>
  <c r="H44" i="5"/>
  <c r="G154" i="1" s="1"/>
  <c r="A193" i="2" l="1"/>
  <c r="B193" i="2"/>
  <c r="C193" i="2"/>
  <c r="D193" i="2"/>
  <c r="E193" i="2"/>
  <c r="H153" i="1"/>
  <c r="F203" i="2"/>
  <c r="F163" i="1" s="1"/>
  <c r="F202" i="2"/>
  <c r="F162" i="1" s="1"/>
  <c r="H169" i="1" l="1"/>
  <c r="I169" i="1" s="1"/>
  <c r="H171" i="1"/>
  <c r="I171" i="1" s="1"/>
  <c r="H174" i="1"/>
  <c r="I174" i="1" s="1"/>
  <c r="H175" i="1"/>
  <c r="I175" i="1" s="1"/>
  <c r="H176" i="1"/>
  <c r="I176" i="1" s="1"/>
  <c r="H177" i="1"/>
  <c r="I177" i="1" s="1"/>
  <c r="H178" i="1"/>
  <c r="I178" i="1" s="1"/>
  <c r="H189" i="1"/>
  <c r="H190" i="1"/>
  <c r="H191" i="1"/>
  <c r="H184" i="1"/>
  <c r="I184" i="1" s="1"/>
  <c r="F236" i="2"/>
  <c r="F193" i="1" s="1"/>
  <c r="F234" i="2"/>
  <c r="F191" i="1" s="1"/>
  <c r="F233" i="2"/>
  <c r="F190" i="1" s="1"/>
  <c r="F232" i="2"/>
  <c r="F189" i="1" s="1"/>
  <c r="F231" i="2"/>
  <c r="F188" i="1" s="1"/>
  <c r="F230" i="2"/>
  <c r="F187" i="1" s="1"/>
  <c r="F229" i="2"/>
  <c r="F186" i="1" s="1"/>
  <c r="F226" i="2"/>
  <c r="F183" i="1" s="1"/>
  <c r="F224" i="2"/>
  <c r="F181" i="1" s="1"/>
  <c r="F223" i="2"/>
  <c r="F180" i="1" s="1"/>
  <c r="A224" i="2"/>
  <c r="B224" i="2"/>
  <c r="C224" i="2"/>
  <c r="D224" i="2"/>
  <c r="E224" i="2"/>
  <c r="A225" i="2"/>
  <c r="B225" i="2"/>
  <c r="C225" i="2"/>
  <c r="D225" i="2"/>
  <c r="E225" i="2"/>
  <c r="A226" i="2"/>
  <c r="B226" i="2"/>
  <c r="C226" i="2"/>
  <c r="D226" i="2"/>
  <c r="E226" i="2"/>
  <c r="A227" i="2"/>
  <c r="B227" i="2"/>
  <c r="C227" i="2"/>
  <c r="D227" i="2"/>
  <c r="E227" i="2"/>
  <c r="A230" i="2"/>
  <c r="B230" i="2"/>
  <c r="C230" i="2"/>
  <c r="D230" i="2"/>
  <c r="E230" i="2"/>
  <c r="A231" i="2"/>
  <c r="B231" i="2"/>
  <c r="C231" i="2"/>
  <c r="D231" i="2"/>
  <c r="E231" i="2"/>
  <c r="A232" i="2"/>
  <c r="B232" i="2"/>
  <c r="C232" i="2"/>
  <c r="D232" i="2"/>
  <c r="E232" i="2"/>
  <c r="A233" i="2"/>
  <c r="B233" i="2"/>
  <c r="C233" i="2"/>
  <c r="D233" i="2"/>
  <c r="E233" i="2"/>
  <c r="A234" i="2"/>
  <c r="B234" i="2"/>
  <c r="C234" i="2"/>
  <c r="D234" i="2"/>
  <c r="E234" i="2"/>
  <c r="A237" i="2"/>
  <c r="B237" i="2"/>
  <c r="C237" i="2"/>
  <c r="D237" i="2"/>
  <c r="E237" i="2"/>
  <c r="A238" i="2"/>
  <c r="B238" i="2"/>
  <c r="C238" i="2"/>
  <c r="D238" i="2"/>
  <c r="E238" i="2"/>
  <c r="A239" i="2"/>
  <c r="B239" i="2"/>
  <c r="C239" i="2"/>
  <c r="D239" i="2"/>
  <c r="E239" i="2"/>
  <c r="A242" i="2"/>
  <c r="B242" i="2"/>
  <c r="C242" i="2"/>
  <c r="D242" i="2"/>
  <c r="E242" i="2"/>
  <c r="A245" i="2"/>
  <c r="B245" i="2"/>
  <c r="C245" i="2"/>
  <c r="D245" i="2"/>
  <c r="E245" i="2"/>
  <c r="E244" i="2"/>
  <c r="D244" i="2"/>
  <c r="C244" i="2"/>
  <c r="B244" i="2"/>
  <c r="A244" i="2"/>
  <c r="E241" i="2"/>
  <c r="D241" i="2"/>
  <c r="C241" i="2"/>
  <c r="B241" i="2"/>
  <c r="A241" i="2"/>
  <c r="E236" i="2"/>
  <c r="D236" i="2"/>
  <c r="C236" i="2"/>
  <c r="B236" i="2"/>
  <c r="A236" i="2"/>
  <c r="E229" i="2"/>
  <c r="D229" i="2"/>
  <c r="C229" i="2"/>
  <c r="B229" i="2"/>
  <c r="A229" i="2"/>
  <c r="E223" i="2"/>
  <c r="D223" i="2"/>
  <c r="C223" i="2"/>
  <c r="B223" i="2"/>
  <c r="A223" i="2"/>
  <c r="D243" i="2"/>
  <c r="A243" i="2"/>
  <c r="D240" i="2"/>
  <c r="A240" i="2"/>
  <c r="D235" i="2"/>
  <c r="A235" i="2"/>
  <c r="D228" i="2"/>
  <c r="A228" i="2"/>
  <c r="D222" i="2"/>
  <c r="A222" i="2"/>
  <c r="B209" i="2"/>
  <c r="C209" i="2"/>
  <c r="D209" i="2"/>
  <c r="E209" i="2"/>
  <c r="B210" i="2"/>
  <c r="C210" i="2"/>
  <c r="D210" i="2"/>
  <c r="E210" i="2"/>
  <c r="B211" i="2"/>
  <c r="C211" i="2"/>
  <c r="D211" i="2"/>
  <c r="E211" i="2"/>
  <c r="B212" i="2"/>
  <c r="C212" i="2"/>
  <c r="D212" i="2"/>
  <c r="E212" i="2"/>
  <c r="B214" i="2"/>
  <c r="C214" i="2"/>
  <c r="D214" i="2"/>
  <c r="E214" i="2"/>
  <c r="B217" i="2"/>
  <c r="C217" i="2"/>
  <c r="D217" i="2"/>
  <c r="E217" i="2"/>
  <c r="B218" i="2"/>
  <c r="C218" i="2"/>
  <c r="D218" i="2"/>
  <c r="E218" i="2"/>
  <c r="B219" i="2"/>
  <c r="C219" i="2"/>
  <c r="D219" i="2"/>
  <c r="E219" i="2"/>
  <c r="B220" i="2"/>
  <c r="C220" i="2"/>
  <c r="D220" i="2"/>
  <c r="E220" i="2"/>
  <c r="B221" i="2"/>
  <c r="C221" i="2"/>
  <c r="D221" i="2"/>
  <c r="E221" i="2"/>
  <c r="A210" i="2"/>
  <c r="A211" i="2"/>
  <c r="A212" i="2"/>
  <c r="A214" i="2"/>
  <c r="A217" i="2"/>
  <c r="A218" i="2"/>
  <c r="A219" i="2"/>
  <c r="A220" i="2"/>
  <c r="A221" i="2"/>
  <c r="A209" i="2"/>
  <c r="D208" i="2"/>
  <c r="A208" i="2"/>
  <c r="D207" i="2"/>
  <c r="A207" i="2"/>
  <c r="H202" i="1"/>
  <c r="I202" i="1" s="1"/>
  <c r="H201" i="1"/>
  <c r="I201" i="1" s="1"/>
  <c r="H199" i="1"/>
  <c r="I199" i="1" s="1"/>
  <c r="H198" i="1"/>
  <c r="I198" i="1" s="1"/>
  <c r="H154" i="1"/>
  <c r="H155" i="1"/>
  <c r="H160" i="1"/>
  <c r="H161" i="1"/>
  <c r="H162" i="1"/>
  <c r="H163" i="1"/>
  <c r="F198" i="2"/>
  <c r="F158" i="1" s="1"/>
  <c r="F195" i="2"/>
  <c r="F155" i="1" s="1"/>
  <c r="F194" i="2"/>
  <c r="F154" i="1" s="1"/>
  <c r="F191" i="2"/>
  <c r="F151" i="1" s="1"/>
  <c r="F188" i="2"/>
  <c r="F148" i="1" s="1"/>
  <c r="B197" i="2"/>
  <c r="C197" i="2"/>
  <c r="D197" i="2"/>
  <c r="E197" i="2"/>
  <c r="B198" i="2"/>
  <c r="C198" i="2"/>
  <c r="D198" i="2"/>
  <c r="E198" i="2"/>
  <c r="B199" i="2"/>
  <c r="C199" i="2"/>
  <c r="D199" i="2"/>
  <c r="E199" i="2"/>
  <c r="B200" i="2"/>
  <c r="C200" i="2"/>
  <c r="D200" i="2"/>
  <c r="E200" i="2"/>
  <c r="B201" i="2"/>
  <c r="C201" i="2"/>
  <c r="D201" i="2"/>
  <c r="E201" i="2"/>
  <c r="B202" i="2"/>
  <c r="C202" i="2"/>
  <c r="D202" i="2"/>
  <c r="E202" i="2"/>
  <c r="B203" i="2"/>
  <c r="C203" i="2"/>
  <c r="D203" i="2"/>
  <c r="E203" i="2"/>
  <c r="A198" i="2"/>
  <c r="A199" i="2"/>
  <c r="A200" i="2"/>
  <c r="A201" i="2"/>
  <c r="A202" i="2"/>
  <c r="A203" i="2"/>
  <c r="B188" i="2"/>
  <c r="C188" i="2"/>
  <c r="D188" i="2"/>
  <c r="E188" i="2"/>
  <c r="B189" i="2"/>
  <c r="C189" i="2"/>
  <c r="D189" i="2"/>
  <c r="E189" i="2"/>
  <c r="B190" i="2"/>
  <c r="C190" i="2"/>
  <c r="D190" i="2"/>
  <c r="E190" i="2"/>
  <c r="B191" i="2"/>
  <c r="C191" i="2"/>
  <c r="D191" i="2"/>
  <c r="E191" i="2"/>
  <c r="B192" i="2"/>
  <c r="C192" i="2"/>
  <c r="D192" i="2"/>
  <c r="E192" i="2"/>
  <c r="B194" i="2"/>
  <c r="C194" i="2"/>
  <c r="D194" i="2"/>
  <c r="E194" i="2"/>
  <c r="B195" i="2"/>
  <c r="C195" i="2"/>
  <c r="D195" i="2"/>
  <c r="E195" i="2"/>
  <c r="A189" i="2"/>
  <c r="A190" i="2"/>
  <c r="A191" i="2"/>
  <c r="A192" i="2"/>
  <c r="A194" i="2"/>
  <c r="A195" i="2"/>
  <c r="A197" i="2"/>
  <c r="A188" i="2"/>
  <c r="D196" i="2"/>
  <c r="A196" i="2"/>
  <c r="D187" i="2"/>
  <c r="D186" i="2"/>
  <c r="A187" i="2"/>
  <c r="B84" i="2"/>
  <c r="C84" i="2"/>
  <c r="D84" i="2"/>
  <c r="E84" i="2"/>
  <c r="B81" i="2"/>
  <c r="C81" i="2"/>
  <c r="D81" i="2"/>
  <c r="E81" i="2"/>
  <c r="B82" i="2"/>
  <c r="C82" i="2"/>
  <c r="D82" i="2"/>
  <c r="E82" i="2"/>
  <c r="A82" i="2"/>
  <c r="A84" i="2"/>
  <c r="A81" i="2"/>
  <c r="D83" i="2"/>
  <c r="A83" i="2"/>
  <c r="A80" i="2"/>
  <c r="D80" i="2"/>
  <c r="D79" i="2"/>
  <c r="A79" i="2"/>
  <c r="D85" i="2"/>
  <c r="B104" i="2"/>
  <c r="C104" i="2"/>
  <c r="D104" i="2"/>
  <c r="E104" i="2"/>
  <c r="B105" i="2"/>
  <c r="C105" i="2"/>
  <c r="D105" i="2"/>
  <c r="E105" i="2"/>
  <c r="A105" i="2"/>
  <c r="A104" i="2"/>
  <c r="A103" i="2"/>
  <c r="D103" i="2"/>
  <c r="D102" i="2"/>
  <c r="A102" i="2"/>
  <c r="D97" i="2"/>
  <c r="A97" i="2"/>
  <c r="H93" i="1"/>
  <c r="I93" i="1" s="1"/>
  <c r="H92" i="1"/>
  <c r="I92" i="1" s="1"/>
  <c r="H70" i="1"/>
  <c r="I70" i="1" s="1"/>
  <c r="I69" i="1" s="1"/>
  <c r="H68" i="1"/>
  <c r="I68" i="1" s="1"/>
  <c r="H66" i="1"/>
  <c r="I66" i="1" s="1"/>
  <c r="H121" i="1"/>
  <c r="I121" i="1" s="1"/>
  <c r="H122" i="1"/>
  <c r="I122" i="1" s="1"/>
  <c r="I197" i="1" l="1"/>
  <c r="I91" i="1"/>
  <c r="I200" i="1"/>
  <c r="I65" i="1"/>
  <c r="I190" i="1"/>
  <c r="I155" i="1"/>
  <c r="F193" i="2"/>
  <c r="I189" i="1"/>
  <c r="I191" i="1"/>
  <c r="I163" i="1"/>
  <c r="I161" i="1"/>
  <c r="I162" i="1"/>
  <c r="I154" i="1"/>
  <c r="I160" i="1"/>
  <c r="F153" i="1" l="1"/>
  <c r="I153" i="1" s="1"/>
  <c r="I93" i="2"/>
  <c r="F93" i="2" s="1"/>
  <c r="F80" i="1" s="1"/>
  <c r="F74" i="1"/>
  <c r="F76" i="1"/>
  <c r="F77" i="1"/>
  <c r="H74" i="1"/>
  <c r="H75" i="1"/>
  <c r="F89" i="2"/>
  <c r="F75" i="1" s="1"/>
  <c r="A88" i="2"/>
  <c r="B88" i="2"/>
  <c r="C88" i="2"/>
  <c r="D88" i="2"/>
  <c r="E88" i="2"/>
  <c r="A89" i="2"/>
  <c r="B89" i="2"/>
  <c r="C89" i="2"/>
  <c r="D89" i="2"/>
  <c r="E89" i="2"/>
  <c r="F87" i="2"/>
  <c r="F73" i="1" s="1"/>
  <c r="A87" i="2"/>
  <c r="B87" i="2"/>
  <c r="C87" i="2"/>
  <c r="D87" i="2"/>
  <c r="E87" i="2"/>
  <c r="E93" i="2"/>
  <c r="D93" i="2"/>
  <c r="C93" i="2"/>
  <c r="B93" i="2"/>
  <c r="A93" i="2"/>
  <c r="A92" i="2"/>
  <c r="H73" i="1"/>
  <c r="H80" i="1"/>
  <c r="I72" i="2"/>
  <c r="I71" i="2"/>
  <c r="I70" i="2"/>
  <c r="I75" i="1" l="1"/>
  <c r="I74" i="1"/>
  <c r="I73" i="1"/>
  <c r="I80" i="1"/>
  <c r="I79" i="1" s="1"/>
  <c r="F72" i="1"/>
  <c r="A86" i="2"/>
  <c r="B86" i="2"/>
  <c r="C86" i="2"/>
  <c r="E86" i="2"/>
  <c r="D86" i="2"/>
  <c r="H72" i="1"/>
  <c r="F71" i="2"/>
  <c r="H59" i="1"/>
  <c r="H62" i="1"/>
  <c r="H72" i="2"/>
  <c r="H70" i="2"/>
  <c r="F70" i="2" s="1"/>
  <c r="A70" i="2"/>
  <c r="B70" i="2"/>
  <c r="C70" i="2"/>
  <c r="E70" i="2"/>
  <c r="D70" i="2"/>
  <c r="I74" i="2"/>
  <c r="H74" i="2"/>
  <c r="A74" i="2"/>
  <c r="B74" i="2"/>
  <c r="C74" i="2"/>
  <c r="D74" i="2"/>
  <c r="E74" i="2"/>
  <c r="D98" i="2"/>
  <c r="D99" i="2"/>
  <c r="D101" i="2"/>
  <c r="D90" i="2"/>
  <c r="D91" i="2"/>
  <c r="D68" i="2"/>
  <c r="D71" i="2"/>
  <c r="D72" i="2"/>
  <c r="D77" i="2"/>
  <c r="D46" i="2"/>
  <c r="D47" i="2"/>
  <c r="D48" i="2"/>
  <c r="D44" i="2"/>
  <c r="D38" i="2"/>
  <c r="D40" i="2"/>
  <c r="D34" i="2"/>
  <c r="D35" i="2"/>
  <c r="D19" i="2"/>
  <c r="D20" i="2"/>
  <c r="D21" i="2"/>
  <c r="D22" i="2"/>
  <c r="D23" i="2"/>
  <c r="D17" i="2"/>
  <c r="D7" i="2"/>
  <c r="D8" i="2"/>
  <c r="D9" i="2"/>
  <c r="D10" i="2"/>
  <c r="D11" i="2"/>
  <c r="D13" i="2"/>
  <c r="D14" i="2"/>
  <c r="H52" i="1"/>
  <c r="B57" i="2"/>
  <c r="C57" i="2"/>
  <c r="D57" i="2"/>
  <c r="E57" i="2"/>
  <c r="A57" i="2"/>
  <c r="F61" i="2"/>
  <c r="F59" i="2"/>
  <c r="F57" i="2" s="1"/>
  <c r="F52" i="1" s="1"/>
  <c r="I72" i="1" l="1"/>
  <c r="F74" i="2"/>
  <c r="F62" i="1" s="1"/>
  <c r="I62" i="1" s="1"/>
  <c r="I52" i="1"/>
  <c r="D49" i="1" l="1"/>
  <c r="D50" i="2" s="1"/>
  <c r="F43" i="5"/>
  <c r="H43" i="5" s="1"/>
  <c r="F42" i="5"/>
  <c r="H42" i="5" s="1"/>
  <c r="H41" i="5"/>
  <c r="H40" i="5"/>
  <c r="H39" i="5"/>
  <c r="H38" i="5"/>
  <c r="B48" i="1"/>
  <c r="D48" i="1"/>
  <c r="D49" i="2" s="1"/>
  <c r="H36" i="5"/>
  <c r="H35" i="5"/>
  <c r="H34" i="5"/>
  <c r="H33" i="5"/>
  <c r="H32" i="5"/>
  <c r="H37" i="5" l="1"/>
  <c r="G49" i="1" s="1"/>
  <c r="H31" i="5"/>
  <c r="G48" i="1" s="1"/>
  <c r="D88" i="1" l="1"/>
  <c r="D100" i="2" s="1"/>
  <c r="D37" i="2" l="1"/>
  <c r="D27" i="1"/>
  <c r="E17" i="2"/>
  <c r="F17" i="2"/>
  <c r="F22" i="5"/>
  <c r="F21" i="5"/>
  <c r="F20" i="5"/>
  <c r="F19" i="5"/>
  <c r="F18" i="5"/>
  <c r="H12" i="5" l="1"/>
  <c r="H11" i="5"/>
  <c r="H10" i="5"/>
  <c r="H9" i="5"/>
  <c r="H8" i="5"/>
  <c r="H7" i="5" l="1"/>
  <c r="G289" i="1" s="1"/>
  <c r="I20" i="2"/>
  <c r="I21" i="2" s="1"/>
  <c r="I22" i="2" s="1"/>
  <c r="H289" i="1" l="1"/>
  <c r="I289" i="1"/>
  <c r="I288" i="1" s="1"/>
  <c r="G29" i="1"/>
  <c r="G37" i="1"/>
  <c r="F21" i="2"/>
  <c r="F22" i="2"/>
  <c r="F20" i="2"/>
  <c r="F19" i="2"/>
  <c r="I209" i="1" l="1"/>
  <c r="D20" i="8"/>
  <c r="E71" i="2"/>
  <c r="B71" i="2"/>
  <c r="C71" i="2"/>
  <c r="A71" i="2"/>
  <c r="A72" i="2"/>
  <c r="H60" i="1"/>
  <c r="Z20" i="8" l="1"/>
  <c r="Z22" i="8" s="1"/>
  <c r="X20" i="8"/>
  <c r="X22" i="8" s="1"/>
  <c r="AB20" i="8"/>
  <c r="AB22" i="8" s="1"/>
  <c r="D22" i="8"/>
  <c r="E101" i="2"/>
  <c r="E100" i="2"/>
  <c r="E99" i="2"/>
  <c r="E98" i="2"/>
  <c r="B98" i="2"/>
  <c r="C98" i="2"/>
  <c r="B99" i="2"/>
  <c r="C99" i="2"/>
  <c r="B100" i="2"/>
  <c r="C100" i="2"/>
  <c r="B101" i="2"/>
  <c r="C101" i="2"/>
  <c r="A101" i="2"/>
  <c r="A99" i="2"/>
  <c r="A100" i="2"/>
  <c r="A98" i="2"/>
  <c r="A96" i="2"/>
  <c r="E91" i="2"/>
  <c r="E90" i="2"/>
  <c r="B90" i="2"/>
  <c r="C90" i="2"/>
  <c r="B91" i="2"/>
  <c r="C91" i="2"/>
  <c r="A90" i="2"/>
  <c r="A91" i="2"/>
  <c r="A85" i="2"/>
  <c r="E77" i="2"/>
  <c r="B77" i="2"/>
  <c r="C77" i="2"/>
  <c r="A77" i="2"/>
  <c r="E72" i="2"/>
  <c r="E68" i="2"/>
  <c r="B68" i="2"/>
  <c r="C68" i="2"/>
  <c r="B72" i="2"/>
  <c r="C72" i="2"/>
  <c r="A68" i="2"/>
  <c r="A65" i="2"/>
  <c r="B64" i="2"/>
  <c r="C64" i="2"/>
  <c r="D64" i="2"/>
  <c r="E64" i="2"/>
  <c r="A64" i="2"/>
  <c r="A62" i="2"/>
  <c r="D53" i="2"/>
  <c r="D58" i="2"/>
  <c r="D60" i="2"/>
  <c r="E60" i="2"/>
  <c r="E58" i="2"/>
  <c r="E53" i="2"/>
  <c r="B53" i="2"/>
  <c r="C53" i="2"/>
  <c r="B58" i="2"/>
  <c r="C58" i="2"/>
  <c r="B60" i="2"/>
  <c r="C60" i="2"/>
  <c r="A60" i="2"/>
  <c r="A58" i="2"/>
  <c r="A53" i="2"/>
  <c r="A51" i="2"/>
  <c r="E50" i="2"/>
  <c r="E49" i="2"/>
  <c r="E48" i="2"/>
  <c r="E47" i="2"/>
  <c r="E46" i="2"/>
  <c r="B46" i="2"/>
  <c r="C46" i="2"/>
  <c r="B47" i="2"/>
  <c r="C47" i="2"/>
  <c r="B48" i="2"/>
  <c r="C48" i="2"/>
  <c r="B49" i="2"/>
  <c r="C49" i="2"/>
  <c r="B50" i="2"/>
  <c r="C50" i="2"/>
  <c r="E44" i="2"/>
  <c r="B44" i="2"/>
  <c r="C44" i="2"/>
  <c r="A47" i="2"/>
  <c r="A48" i="2"/>
  <c r="A49" i="2"/>
  <c r="A50" i="2"/>
  <c r="A46" i="2"/>
  <c r="A44" i="2"/>
  <c r="A45" i="2"/>
  <c r="A42" i="2"/>
  <c r="A41" i="2"/>
  <c r="E40" i="2"/>
  <c r="E38" i="2"/>
  <c r="E37" i="2"/>
  <c r="E35" i="2"/>
  <c r="E34" i="2"/>
  <c r="B34" i="2"/>
  <c r="C34" i="2"/>
  <c r="B35" i="2"/>
  <c r="C35" i="2"/>
  <c r="B37" i="2"/>
  <c r="C37" i="2"/>
  <c r="B38" i="2"/>
  <c r="C38" i="2"/>
  <c r="B40" i="2"/>
  <c r="C40" i="2"/>
  <c r="A40" i="2"/>
  <c r="A38" i="2"/>
  <c r="A37" i="2"/>
  <c r="A35" i="2"/>
  <c r="A36" i="2"/>
  <c r="A34" i="2"/>
  <c r="A33" i="2"/>
  <c r="A32" i="2"/>
  <c r="E31" i="2"/>
  <c r="E30" i="2"/>
  <c r="E28" i="2"/>
  <c r="B28" i="2"/>
  <c r="C28" i="2"/>
  <c r="B30" i="2"/>
  <c r="C30" i="2"/>
  <c r="B31" i="2"/>
  <c r="C31" i="2"/>
  <c r="A30" i="2"/>
  <c r="A31" i="2"/>
  <c r="A28" i="2"/>
  <c r="A27" i="2"/>
  <c r="E26" i="2"/>
  <c r="E25" i="2"/>
  <c r="B25" i="2"/>
  <c r="C25" i="2"/>
  <c r="B26" i="2"/>
  <c r="C26" i="2"/>
  <c r="A26" i="2"/>
  <c r="A25" i="2"/>
  <c r="A24" i="2"/>
  <c r="E23" i="2"/>
  <c r="E22" i="2"/>
  <c r="E21" i="2"/>
  <c r="E20" i="2"/>
  <c r="E19" i="2"/>
  <c r="E14" i="2"/>
  <c r="E13" i="2"/>
  <c r="E11" i="2"/>
  <c r="E10" i="2"/>
  <c r="E9" i="2"/>
  <c r="E8" i="2"/>
  <c r="E7" i="2"/>
  <c r="B7" i="2"/>
  <c r="C7" i="2"/>
  <c r="B8" i="2"/>
  <c r="C8" i="2"/>
  <c r="B9" i="2"/>
  <c r="C9" i="2"/>
  <c r="B10" i="2"/>
  <c r="C10" i="2"/>
  <c r="B11" i="2"/>
  <c r="C11" i="2"/>
  <c r="B13" i="2"/>
  <c r="C13" i="2"/>
  <c r="B14" i="2"/>
  <c r="C14" i="2"/>
  <c r="B17" i="2"/>
  <c r="C17" i="2"/>
  <c r="B19" i="2"/>
  <c r="C19" i="2"/>
  <c r="B20" i="2"/>
  <c r="C20" i="2"/>
  <c r="B21" i="2"/>
  <c r="C21" i="2"/>
  <c r="B22" i="2"/>
  <c r="C22" i="2"/>
  <c r="B23" i="2"/>
  <c r="C23" i="2"/>
  <c r="A20" i="2"/>
  <c r="A21" i="2"/>
  <c r="A22" i="2"/>
  <c r="A23" i="2"/>
  <c r="A19" i="2"/>
  <c r="A18" i="2"/>
  <c r="A17" i="2"/>
  <c r="A16" i="2"/>
  <c r="A15" i="2"/>
  <c r="A14" i="2"/>
  <c r="A13" i="2"/>
  <c r="A8" i="2"/>
  <c r="A9" i="2"/>
  <c r="A10" i="2"/>
  <c r="A11" i="2"/>
  <c r="A7" i="2"/>
  <c r="A5" i="2"/>
  <c r="H30" i="5"/>
  <c r="H29" i="5"/>
  <c r="H28" i="5"/>
  <c r="H27" i="5"/>
  <c r="H22" i="5"/>
  <c r="H21" i="5"/>
  <c r="H26" i="5"/>
  <c r="H25" i="5"/>
  <c r="H24" i="5"/>
  <c r="H20" i="5"/>
  <c r="H19" i="5"/>
  <c r="H18" i="5"/>
  <c r="H16" i="5"/>
  <c r="H15" i="5"/>
  <c r="H14" i="5"/>
  <c r="P21" i="8" l="1"/>
  <c r="V21" i="8"/>
  <c r="T21" i="8"/>
  <c r="L21" i="8"/>
  <c r="R21" i="8"/>
  <c r="N21" i="8"/>
  <c r="J21" i="8"/>
  <c r="AB21" i="8"/>
  <c r="X21" i="8"/>
  <c r="Z21" i="8"/>
  <c r="H13" i="5"/>
  <c r="G23" i="1" s="1"/>
  <c r="H23" i="5"/>
  <c r="G24" i="1" s="1"/>
  <c r="H17" i="5"/>
  <c r="G27" i="1" s="1"/>
  <c r="H27" i="1" l="1"/>
  <c r="G88" i="1"/>
  <c r="F46" i="1"/>
  <c r="F47" i="1"/>
  <c r="F48" i="1"/>
  <c r="F49" i="1"/>
  <c r="F45" i="1"/>
  <c r="F38" i="1"/>
  <c r="F34" i="2"/>
  <c r="F34" i="1" s="1"/>
  <c r="F30" i="1"/>
  <c r="F21" i="1"/>
  <c r="F22" i="1"/>
  <c r="F23" i="1"/>
  <c r="F24" i="1"/>
  <c r="F20" i="1"/>
  <c r="F11" i="1"/>
  <c r="F12" i="1"/>
  <c r="F13" i="1"/>
  <c r="F9" i="1"/>
  <c r="H53" i="1"/>
  <c r="H54" i="1"/>
  <c r="H47" i="1"/>
  <c r="H48" i="1"/>
  <c r="H49" i="1"/>
  <c r="H77" i="1"/>
  <c r="H76" i="1"/>
  <c r="H38" i="1"/>
  <c r="H40" i="1"/>
  <c r="H22" i="1"/>
  <c r="H23" i="1"/>
  <c r="H24" i="1"/>
  <c r="H31" i="1"/>
  <c r="H30" i="1"/>
  <c r="H29" i="1"/>
  <c r="H10" i="1"/>
  <c r="H11" i="1"/>
  <c r="H12" i="1"/>
  <c r="H13" i="1"/>
  <c r="H14" i="1"/>
  <c r="H15" i="1"/>
  <c r="H193" i="1"/>
  <c r="H194" i="1"/>
  <c r="H195" i="1"/>
  <c r="H196" i="1"/>
  <c r="F99" i="2"/>
  <c r="F87" i="1" s="1"/>
  <c r="G98" i="2"/>
  <c r="F98" i="2" s="1"/>
  <c r="F86" i="1" s="1"/>
  <c r="G101" i="2"/>
  <c r="F101" i="2" s="1"/>
  <c r="F89" i="1" s="1"/>
  <c r="G100" i="2"/>
  <c r="F100" i="2" s="1"/>
  <c r="F88" i="1" s="1"/>
  <c r="I23" i="1" l="1"/>
  <c r="I47" i="1"/>
  <c r="I48" i="1"/>
  <c r="I12" i="1"/>
  <c r="I30" i="1"/>
  <c r="I77" i="1"/>
  <c r="I76" i="1"/>
  <c r="I71" i="1" s="1"/>
  <c r="I11" i="1"/>
  <c r="I22" i="1"/>
  <c r="I49" i="1"/>
  <c r="I38" i="1"/>
  <c r="I24" i="1"/>
  <c r="I13" i="1"/>
  <c r="I194" i="1"/>
  <c r="I196" i="1"/>
  <c r="I193" i="1"/>
  <c r="I195" i="1"/>
  <c r="I192" i="1" l="1"/>
  <c r="I77" i="2"/>
  <c r="H55" i="2"/>
  <c r="F53" i="2" s="1"/>
  <c r="F51" i="1" s="1"/>
  <c r="F60" i="2" l="1"/>
  <c r="F54" i="1" s="1"/>
  <c r="F58" i="2"/>
  <c r="F53" i="1" s="1"/>
  <c r="F68" i="2"/>
  <c r="F77" i="2" l="1"/>
  <c r="F63" i="1" s="1"/>
  <c r="I53" i="1"/>
  <c r="F58" i="1"/>
  <c r="I54" i="1"/>
  <c r="F44" i="2"/>
  <c r="F43" i="1" s="1"/>
  <c r="F72" i="2" l="1"/>
  <c r="F61" i="1" l="1"/>
  <c r="F60" i="1"/>
  <c r="I60" i="1" s="1"/>
  <c r="F59" i="1"/>
  <c r="I59" i="1" s="1"/>
  <c r="F64" i="2"/>
  <c r="F56" i="1" l="1"/>
  <c r="F40" i="2"/>
  <c r="F40" i="1" s="1"/>
  <c r="I40" i="1" s="1"/>
  <c r="F35" i="2"/>
  <c r="F35" i="1" s="1"/>
  <c r="F37" i="1" l="1"/>
  <c r="F14" i="2"/>
  <c r="F15" i="1" s="1"/>
  <c r="I15" i="1" s="1"/>
  <c r="F13" i="2"/>
  <c r="F14" i="1" s="1"/>
  <c r="I14" i="1" s="1"/>
  <c r="F8" i="2"/>
  <c r="F10" i="1" s="1"/>
  <c r="I10" i="1" s="1"/>
  <c r="F31" i="2"/>
  <c r="F31" i="1" s="1"/>
  <c r="I31" i="1" s="1"/>
  <c r="F29" i="1"/>
  <c r="I29" i="1" s="1"/>
  <c r="F26" i="2"/>
  <c r="F27" i="1" s="1"/>
  <c r="I27" i="1" s="1"/>
  <c r="F25" i="2"/>
  <c r="F26" i="1" s="1"/>
  <c r="F18" i="1"/>
  <c r="I28" i="1" l="1"/>
  <c r="D5" i="2"/>
  <c r="D15" i="2"/>
  <c r="D32" i="2"/>
  <c r="D41" i="2"/>
  <c r="D96" i="2"/>
  <c r="D106" i="2"/>
  <c r="H9" i="1"/>
  <c r="I9" i="1" l="1"/>
  <c r="I7" i="1" s="1"/>
  <c r="H118" i="1"/>
  <c r="H117" i="1"/>
  <c r="H111" i="1"/>
  <c r="H107" i="1"/>
  <c r="H105" i="1"/>
  <c r="H100" i="1"/>
  <c r="H97" i="1"/>
  <c r="H89" i="1"/>
  <c r="H88" i="1"/>
  <c r="H87" i="1"/>
  <c r="H86" i="1"/>
  <c r="H63" i="1"/>
  <c r="H61" i="1"/>
  <c r="H58" i="1"/>
  <c r="H56" i="1"/>
  <c r="H51" i="1"/>
  <c r="H46" i="1"/>
  <c r="H45" i="1"/>
  <c r="H43" i="1"/>
  <c r="H37" i="1"/>
  <c r="H35" i="1"/>
  <c r="H34" i="1"/>
  <c r="I51" i="1" l="1"/>
  <c r="I50" i="1" s="1"/>
  <c r="I43" i="1"/>
  <c r="I63" i="1"/>
  <c r="I118" i="1"/>
  <c r="I37" i="1"/>
  <c r="I36" i="1" s="1"/>
  <c r="I46" i="1"/>
  <c r="I56" i="1"/>
  <c r="I55" i="1" s="1"/>
  <c r="I58" i="1"/>
  <c r="I87" i="1"/>
  <c r="I86" i="1"/>
  <c r="I88" i="1"/>
  <c r="I105" i="1"/>
  <c r="I104" i="1" s="1"/>
  <c r="I111" i="1"/>
  <c r="I110" i="1" s="1"/>
  <c r="I107" i="1"/>
  <c r="I106" i="1" s="1"/>
  <c r="I117" i="1"/>
  <c r="E2" i="5"/>
  <c r="H2" i="2"/>
  <c r="E2" i="2"/>
  <c r="A4" i="5"/>
  <c r="I116" i="1" l="1"/>
  <c r="H152" i="1"/>
  <c r="I152" i="1" s="1"/>
  <c r="H145" i="1" l="1"/>
  <c r="A163" i="2"/>
  <c r="H144" i="1"/>
  <c r="H140" i="1"/>
  <c r="I144" i="1" l="1"/>
  <c r="I145" i="1"/>
  <c r="I140" i="1"/>
  <c r="G2" i="2"/>
  <c r="I134" i="1" l="1"/>
  <c r="F2" i="5"/>
  <c r="F2" i="7"/>
  <c r="I143" i="1"/>
  <c r="I42" i="1"/>
  <c r="I45" i="1" l="1"/>
  <c r="I44" i="1" s="1"/>
  <c r="H183" i="1"/>
  <c r="H182" i="1"/>
  <c r="I61" i="1" l="1"/>
  <c r="I57" i="1" s="1"/>
  <c r="I182" i="1"/>
  <c r="I183" i="1"/>
  <c r="I41" i="1" l="1"/>
  <c r="H18" i="1"/>
  <c r="H20" i="1"/>
  <c r="H21" i="1"/>
  <c r="H26" i="1"/>
  <c r="H120" i="1"/>
  <c r="H124" i="1"/>
  <c r="H126" i="1"/>
  <c r="H127" i="1"/>
  <c r="H148" i="1"/>
  <c r="H149" i="1"/>
  <c r="H150" i="1"/>
  <c r="H151" i="1"/>
  <c r="H157" i="1"/>
  <c r="H158" i="1"/>
  <c r="H159" i="1"/>
  <c r="H166" i="1"/>
  <c r="H167" i="1"/>
  <c r="H168" i="1"/>
  <c r="H180" i="1"/>
  <c r="H181" i="1"/>
  <c r="H186" i="1"/>
  <c r="H187" i="1"/>
  <c r="H188" i="1"/>
  <c r="I151" i="1" l="1"/>
  <c r="I181" i="1"/>
  <c r="I158" i="1"/>
  <c r="I168" i="1"/>
  <c r="I167" i="1"/>
  <c r="I157" i="1"/>
  <c r="I149" i="1"/>
  <c r="I89" i="1"/>
  <c r="I85" i="1" s="1"/>
  <c r="I159" i="1"/>
  <c r="I150" i="1"/>
  <c r="I84" i="1" l="1"/>
  <c r="I156" i="1"/>
  <c r="I100" i="1"/>
  <c r="I99" i="1" s="1"/>
  <c r="I188" i="1"/>
  <c r="I120" i="1"/>
  <c r="I119" i="1" s="1"/>
  <c r="I21" i="1"/>
  <c r="I187" i="1" l="1"/>
  <c r="I97" i="1"/>
  <c r="I95" i="1" s="1"/>
  <c r="I127" i="1"/>
  <c r="I126" i="1"/>
  <c r="I125" i="1" l="1"/>
  <c r="I34" i="1"/>
  <c r="I124" i="1"/>
  <c r="I123" i="1" s="1"/>
  <c r="I94" i="1" s="1"/>
  <c r="I26" i="1"/>
  <c r="I25" i="1" s="1"/>
  <c r="I18" i="1"/>
  <c r="I17" i="1" s="1"/>
  <c r="I148" i="1"/>
  <c r="I147" i="1" s="1"/>
  <c r="I166" i="1"/>
  <c r="I165" i="1" s="1"/>
  <c r="I180" i="1"/>
  <c r="I179" i="1" s="1"/>
  <c r="I186" i="1"/>
  <c r="I185" i="1" s="1"/>
  <c r="I20" i="1" l="1"/>
  <c r="I19" i="1" s="1"/>
  <c r="I16" i="1" l="1"/>
  <c r="I35" i="1"/>
  <c r="I33" i="1" s="1"/>
  <c r="I32" i="1" l="1"/>
  <c r="F22" i="8" l="1"/>
  <c r="F24" i="8" s="1"/>
  <c r="F23" i="8" s="1"/>
  <c r="H22" i="8"/>
  <c r="H21" i="8" s="1"/>
  <c r="C14" i="8"/>
  <c r="C16" i="8"/>
  <c r="C15" i="8"/>
  <c r="C19" i="8"/>
  <c r="C17" i="8"/>
  <c r="C18" i="8"/>
  <c r="C20" i="8"/>
  <c r="F21" i="8" l="1"/>
  <c r="H24" i="8"/>
  <c r="J24" i="8" s="1"/>
  <c r="L24" i="8" s="1"/>
  <c r="N24" i="8" s="1"/>
  <c r="P24" i="8" s="1"/>
  <c r="R24" i="8" s="1"/>
  <c r="T24" i="8" s="1"/>
  <c r="V24" i="8" s="1"/>
  <c r="X24" i="8" s="1"/>
  <c r="Z24" i="8" s="1"/>
  <c r="AB24" i="8" s="1"/>
  <c r="C21" i="8"/>
  <c r="H23" i="8"/>
  <c r="J23" i="8" s="1"/>
  <c r="L23" i="8" s="1"/>
  <c r="N23" i="8" s="1"/>
  <c r="P23" i="8" s="1"/>
  <c r="R23" i="8" s="1"/>
  <c r="T23" i="8" s="1"/>
  <c r="V23" i="8" s="1"/>
  <c r="X23" i="8" s="1"/>
  <c r="Z23" i="8" s="1"/>
  <c r="AB23" i="8" s="1"/>
</calcChain>
</file>

<file path=xl/sharedStrings.xml><?xml version="1.0" encoding="utf-8"?>
<sst xmlns="http://schemas.openxmlformats.org/spreadsheetml/2006/main" count="1529" uniqueCount="730">
  <si>
    <t>1.1</t>
  </si>
  <si>
    <t>PLACA DE OBRA EM CHAPA DE ACO GALVANIZADO</t>
  </si>
  <si>
    <t>M</t>
  </si>
  <si>
    <t>ALVENARIA - VEDAÇÃO</t>
  </si>
  <si>
    <t>PONTOS DE HIDRAULICA</t>
  </si>
  <si>
    <t>Banco</t>
  </si>
  <si>
    <t>m²</t>
  </si>
  <si>
    <t>m³</t>
  </si>
  <si>
    <t>IMPERMEABILIZAÇÃO</t>
  </si>
  <si>
    <t>Und</t>
  </si>
  <si>
    <t>FUNDAÇÃO</t>
  </si>
  <si>
    <t>TETO</t>
  </si>
  <si>
    <t>SINAPI</t>
  </si>
  <si>
    <t>Descrição</t>
  </si>
  <si>
    <t>6.1</t>
  </si>
  <si>
    <t>6.2</t>
  </si>
  <si>
    <t>6.3</t>
  </si>
  <si>
    <t>un</t>
  </si>
  <si>
    <t>QPDG</t>
  </si>
  <si>
    <t>Código</t>
  </si>
  <si>
    <t>UN</t>
  </si>
  <si>
    <t>Total</t>
  </si>
  <si>
    <t>5.1</t>
  </si>
  <si>
    <t>ORSE</t>
  </si>
  <si>
    <t>Encargos Sociais</t>
  </si>
  <si>
    <t>Descrição do Orçamento</t>
  </si>
  <si>
    <t>Quant.</t>
  </si>
  <si>
    <t>4.1</t>
  </si>
  <si>
    <t>Valor Unit com BDI</t>
  </si>
  <si>
    <t>Item</t>
  </si>
  <si>
    <t>FUNDAÇÃO E ESTRUTURA</t>
  </si>
  <si>
    <t>ESTRUTURA</t>
  </si>
  <si>
    <t>PISO</t>
  </si>
  <si>
    <t>B.D.I.</t>
  </si>
  <si>
    <t>74209/001</t>
  </si>
  <si>
    <t>3.1</t>
  </si>
  <si>
    <t>3.2</t>
  </si>
  <si>
    <t>Planilha Orçamentária Sintética</t>
  </si>
  <si>
    <t>Bancos Utilizados</t>
  </si>
  <si>
    <t>PONTOS ELÉTRICOS</t>
  </si>
  <si>
    <t>MOVIMENTO DE TERRA</t>
  </si>
  <si>
    <t>INSTALAÇÕES ELÉTRICAS</t>
  </si>
  <si>
    <t>2.1</t>
  </si>
  <si>
    <t>2.2</t>
  </si>
  <si>
    <t>2.3</t>
  </si>
  <si>
    <t>2.4</t>
  </si>
  <si>
    <t>INSTALAÇÕES HIDRAULICAS</t>
  </si>
  <si>
    <t>REVESTIMENTO - PISOS, PAREDES E TETOS</t>
  </si>
  <si>
    <t>Valor Unit</t>
  </si>
  <si>
    <t>ALTURA</t>
  </si>
  <si>
    <t>LARGURA</t>
  </si>
  <si>
    <t>COMPRIMENTO</t>
  </si>
  <si>
    <t xml:space="preserve">PERÍMETRO </t>
  </si>
  <si>
    <t>ESTADO DE ALAGOAS
PREFEITURA MUNICIPAL DE LAGOA DA CANOA – ALAGOAS
Praça Ver. Benício Alves de Oliveira, s/n – Centro – CEP 57330-000 – CNPJ 12.207.551/0001-00</t>
  </si>
  <si>
    <t>OBSERVAÇÕES DE QUANTIDADES</t>
  </si>
  <si>
    <t xml:space="preserve">_______________________________________________________________
ENG. LUIZ ANDRÉ PORTELA DA SILVA FILHO CREA: 0211857840
</t>
  </si>
  <si>
    <t>Planilha Quantificada com observações de cálculos</t>
  </si>
  <si>
    <t>TOTAL</t>
  </si>
  <si>
    <t>O TIPO DE PISO É CONTABILIZADO DE ACORDO COM O PROJETO ARQUITETÔNICO</t>
  </si>
  <si>
    <t>ÁREA</t>
  </si>
  <si>
    <t>3.1.1</t>
  </si>
  <si>
    <t>3.1.2</t>
  </si>
  <si>
    <t>3.2.1</t>
  </si>
  <si>
    <t>6.1.1</t>
  </si>
  <si>
    <t>6.1.2</t>
  </si>
  <si>
    <t>6.2.1</t>
  </si>
  <si>
    <t>6.2.2</t>
  </si>
  <si>
    <t>6.3.1</t>
  </si>
  <si>
    <t>ESCAVAÇÃO MANUAL DE VALA COM PROFUNDIDADE MENOR OU IGUAL A 1,30 M. AF_03/2016</t>
  </si>
  <si>
    <t>84,82% - Desonerada</t>
  </si>
  <si>
    <t>Composições</t>
  </si>
  <si>
    <t>Valor Total</t>
  </si>
  <si>
    <t/>
  </si>
  <si>
    <t>H</t>
  </si>
  <si>
    <t>88267</t>
  </si>
  <si>
    <t>ENCANADOR OU BOMBEIRO HIDRÁULICO COM ENCARGOS COMPLEMENTARES</t>
  </si>
  <si>
    <t>COMP</t>
  </si>
  <si>
    <t>REVESTIMENTO INTERNO DE PAREDE</t>
  </si>
  <si>
    <t>REVESTIMENTO EXTERNO DE PAREDE</t>
  </si>
  <si>
    <t>6.4</t>
  </si>
  <si>
    <t>6.4.1</t>
  </si>
  <si>
    <t>ESQUADRIAS</t>
  </si>
  <si>
    <t>MADEIRA</t>
  </si>
  <si>
    <t>CONSTRUÇÃO DE COMPLEXO ESPORTIVO NO MUNICÍPIO DE LAGOA DA CANOA - AL</t>
  </si>
  <si>
    <t>CAMPO DE FUTEBOL</t>
  </si>
  <si>
    <t>QUADRA DE VOLEI</t>
  </si>
  <si>
    <t>PISCINA</t>
  </si>
  <si>
    <t>ÁREA EXTERNA E ESTACIONAMENTO</t>
  </si>
  <si>
    <t>ÁREA ADMINISTRATIVA E DE APOIO (INCLUSIVE VESTIÁRIOS)</t>
  </si>
  <si>
    <t>SERVIÇOS PRELIMINARES</t>
  </si>
  <si>
    <t>SISTEMA DE DRENAGEM</t>
  </si>
  <si>
    <t>GRAMADO</t>
  </si>
  <si>
    <t>FORNECIMENTO E INSTALACAO DE MANTA BIDIM RT - 14</t>
  </si>
  <si>
    <t>CAMADA DRENANTE COM BRITA NUM 2</t>
  </si>
  <si>
    <t>EXECUCAO DE DRENOS EM TUBOS DRENANTES, PVC, DIAM=100 MM</t>
  </si>
  <si>
    <t>CAIXA DE AREIA 40X40X40CM EM ALVENARIA - EXECUÇÃO</t>
  </si>
  <si>
    <t>PLANTIO DE GRAMA EM PLACAS. AF_05/2018</t>
  </si>
  <si>
    <t>REGULARIZAÇÃO, NIVELAMENTO E ESPALHAMENTO DA MISTURA FÉRTIL ORGÂNICA - INCLUINDO ADULBO - ALTURA = 20CM</t>
  </si>
  <si>
    <t>ALAMBRADO EM TUBOS DE ACO GALVANIZADO, COM COSTURA, DIN 2440, DIAMETRO 2", ALTURA 5M, FIXADOS A CADA 2,50M EM BLOCOS DE CONCRETO, COM TELA DE ARAME GALVANIZADO, FIO 12 BWG E MALHA 8X8CM</t>
  </si>
  <si>
    <t>TRAVE PARA FUTEBOL DE CAMPO</t>
  </si>
  <si>
    <t>DIVERSOS</t>
  </si>
  <si>
    <t>ALVENARIA DE VEDAÇÃO DE BLOCOS CERÂMICOS FURADOS NA HORIZONTAL DE 9X14X19CM (ESPESSURA 9CM) DE PAREDES COM ÁREA LÍQUIDA MAIOR OU IGUAL A 6M² SEM VÃOS E ARGAMASSA DE ASSENTAMENTO COM PREPARO EM BETONEIRA. AF_06/2014</t>
  </si>
  <si>
    <t>PERÍMETRO</t>
  </si>
  <si>
    <t>PORTAO DE FERRO EM CHAPA GALVANIZADA PLANA 14 GSG</t>
  </si>
  <si>
    <t>LIMPEZA MECANIZADA DE TERRENO COM REMOCAO DE CAMADA VEGETAL, UTILIZANDO MOTONIVELADORA</t>
  </si>
  <si>
    <t>LIGAÇÃO PREDIAL DE ÁGUA EM MURETA DE CONCRETO, PROVISÓRIA OU DEFINITIVA, COM FORNECIMENTO DE MATERIAL, INCLUSIVE MURETA E HIDRÔMETRO, REDE DN 50MM</t>
  </si>
  <si>
    <t>ENTRADA PROVISORIA DE ENERGIA ELETRICA AEREA TRIFASICA 40A EM POSTE MADEIRA</t>
  </si>
  <si>
    <t>EXECUÇÃO DE CENTRAL DE ARMADURA EM CANTEIRO DE OBRA, NÃO INCLUSO MOBILIÁRIO E EQUIPAMENTOS. AF_04/2016</t>
  </si>
  <si>
    <t>EXECUÇÃO DE ESCRITÓRIO EM CANTEIRO DE OBRA EM CHAPA DE MADEIRA COMPENSADA, NÃO INCLUSO MOBILIÁRIO E EQUIPAMENTOS. AF_02/2016</t>
  </si>
  <si>
    <t>ESPESSURA</t>
  </si>
  <si>
    <t>PISCINA E ARQUIBANCADAS</t>
  </si>
  <si>
    <t>IMPERMEABILIZAÇÃO DA PISCINA</t>
  </si>
  <si>
    <t>REVESTIMENTOS</t>
  </si>
  <si>
    <t>ARQUIBANCADAS</t>
  </si>
  <si>
    <t>CONFORME PROJETO ESTRUTURAL (PISCINA E ARQUIBANCADAS)</t>
  </si>
  <si>
    <t>PAREDES E PAINÉIS</t>
  </si>
  <si>
    <t>1.2</t>
  </si>
  <si>
    <t>1.3</t>
  </si>
  <si>
    <t>1.4</t>
  </si>
  <si>
    <t>1.5</t>
  </si>
  <si>
    <t>1.6</t>
  </si>
  <si>
    <t>1.7</t>
  </si>
  <si>
    <t>m</t>
  </si>
  <si>
    <t>73822/002</t>
  </si>
  <si>
    <t>2.1.1</t>
  </si>
  <si>
    <t>2.2.1</t>
  </si>
  <si>
    <t>2.2.2</t>
  </si>
  <si>
    <t>2.2.3</t>
  </si>
  <si>
    <t>2.2.4</t>
  </si>
  <si>
    <t>2.2.5</t>
  </si>
  <si>
    <t>2.4.1</t>
  </si>
  <si>
    <t>2.4.2</t>
  </si>
  <si>
    <t>par</t>
  </si>
  <si>
    <t>4.1.1</t>
  </si>
  <si>
    <t>4.2.1</t>
  </si>
  <si>
    <t>4.2</t>
  </si>
  <si>
    <t>4.2.2</t>
  </si>
  <si>
    <t>4.2.3</t>
  </si>
  <si>
    <t>4.2.4</t>
  </si>
  <si>
    <t>4.2.5</t>
  </si>
  <si>
    <t>4.3</t>
  </si>
  <si>
    <t>4.3.1</t>
  </si>
  <si>
    <t>4.4</t>
  </si>
  <si>
    <t>4.4.1</t>
  </si>
  <si>
    <t>4.5</t>
  </si>
  <si>
    <t>4.5.1</t>
  </si>
  <si>
    <t>4.3.2</t>
  </si>
  <si>
    <t>4.3.3</t>
  </si>
  <si>
    <t>4.5.2</t>
  </si>
  <si>
    <t>4.5.3</t>
  </si>
  <si>
    <t>4.5.4</t>
  </si>
  <si>
    <t>4.6</t>
  </si>
  <si>
    <t>4.6.1</t>
  </si>
  <si>
    <t>4.6.2</t>
  </si>
  <si>
    <t>5.2</t>
  </si>
  <si>
    <t>CHAPISCO APLICADO EM ALVENARIA (SEM PRESENÇA DE VÃOS) E ESTRUTURAS DE CONCRETO DE FACHADA, COM COLHER DE PEDREIRO. ARGAMASSA TRAÇO 1:3 COM PREPARO EM BETONEIRA 400L. AF_06/2014</t>
  </si>
  <si>
    <t>EMBOÇO OU MASSA ÚNICA EM ARGAMASSA TRAÇO 1:2:8, PREPARO MECÂNICO COM BETONEIRA 400 L, APLICADA MANUALMENTE EM PANOS DE FACHADA COM PRESENÇA
DE VÃOS, ESPESSURA DE 25 MM. AF_06/2014</t>
  </si>
  <si>
    <t>AREIA MEDIA - POSTO JAZIDA/FORNECEDOR (RETIRADO NA JAZIDA, SEM TRANSPORTE)</t>
  </si>
  <si>
    <t>CIMENTO PORTLAND POZOLANICO CP IV- 32</t>
  </si>
  <si>
    <t>PEDRA BRITADA N. 1 (9,5 a 19 MM) POSTO PEDREIRA/FORNECEDOR, SEM FRETE</t>
  </si>
  <si>
    <t>BLOCO CERAMICO (ALVENARIA DE VEDACAO), 8 FUROS, DE 9 X 19 X 19 CM</t>
  </si>
  <si>
    <t>PEDREIRO COM ENCARGOS COMPLEMENTARES</t>
  </si>
  <si>
    <t>SERVENTE COM ENCARGOS COMPLEMENTARES</t>
  </si>
  <si>
    <t xml:space="preserve"> Grelha metálica em ferro fundido, 50x50cm</t>
  </si>
  <si>
    <t>M3</t>
  </si>
  <si>
    <t>50KG</t>
  </si>
  <si>
    <t xml:space="preserve"> Terra Vegetal (Granel)</t>
  </si>
  <si>
    <t>FERTILIZANTE NPK - 4: 14: 8</t>
  </si>
  <si>
    <t>FERTILIZANTE ORGANICO COMPOSTO, CLASSE A</t>
  </si>
  <si>
    <t>kg</t>
  </si>
  <si>
    <t>Execucao de drenos em tubos drenantes, pvc, diam=100 mm</t>
  </si>
  <si>
    <t>9833</t>
  </si>
  <si>
    <t>TUBO PVC, FLEXIVEL, CORRUGADO, PERFURADO, DN 110 MM, PARA DRENAGEM, SISTEMA IRRIGACAO</t>
  </si>
  <si>
    <t>m2</t>
  </si>
  <si>
    <t>h</t>
  </si>
  <si>
    <t>m3</t>
  </si>
  <si>
    <t>4.5.5</t>
  </si>
  <si>
    <t>SISTEMA DE DRENAGEM DO CAMPO</t>
  </si>
  <si>
    <t>Regularização, nivelamento e espalhamento da mistura fértil orgânica - Incluindo adubo - altura = 10cm</t>
  </si>
  <si>
    <t>Locação de construção de edificação acima de 1000 m2, inclusive execução de gabarito de madeira</t>
  </si>
  <si>
    <t>REGULARIZACAO DE SUPERFICIES EM TERRA COM MOTONIVELADORA</t>
  </si>
  <si>
    <t xml:space="preserve">	Portão em tubo ferro galvanizado, com quadro ø= 2" e tela de aço galvanizado, fio 12 bwg , malha 2"</t>
  </si>
  <si>
    <t xml:space="preserve">	Rede para volei profissional, em nylon e com medidor de altura</t>
  </si>
  <si>
    <t>M2</t>
  </si>
  <si>
    <t>KG</t>
  </si>
  <si>
    <t>TUBO ACO GALVANIZADO COM COSTURA, CLASSE MEDIA, DN 2", E = *3,65* MM, PESO *5,10* KG/M (NBR 5580)</t>
  </si>
  <si>
    <t>SERRALHEIRO COM ENCARGOS COMPLEMENTARES</t>
  </si>
  <si>
    <t>AREIA FINA - POSTO JAZIDA/FORNECEDOR (RETIRADO NA JAZIDA, SEM TRANSPORTE)</t>
  </si>
  <si>
    <t>EXECUÇÃO DE PASSEIO (CALÇADA) OU PISO DE CONCRETO COM CONCRETO MOLDADO IN LOCO, FEITO EM OBRA, ACABAMENTO CONVENCIONAL, ESPESSURA 8 CM, ARMA
DO. AF_07/2016</t>
  </si>
  <si>
    <t>LANÇAMENTO COM USO DE BOMBA, ADENSAMENTO E ACABAMENTO DE CONCRETO EM ESTRUTURAS. AF_12/2015</t>
  </si>
  <si>
    <t>ESCAVACAO MECANICA, A CEU ABERTO, EM MATERIAL DE 1A CATEGORIA, COM ESCAVADEIRA HIDRAULICA, CAPACIDADE DE 0,78 M3</t>
  </si>
  <si>
    <t>ARAME RECOZIDO 18 BWG, 1,25 MM (0,01 KG/M)</t>
  </si>
  <si>
    <t>ESPACADOR / DISTANCIADOR CIRCULAR COM ENTRADA LATERAL, EM PLASTICO, PARA VERGALHAO *4,2 A 12,5* MM, COBRIMENTO 20 MM</t>
  </si>
  <si>
    <t>AJUDANTE DE ARMADOR COM ENCARGOS COMPLEMENTARES</t>
  </si>
  <si>
    <t>ARMADOR COM ENCARGOS COMPLEMENTARES</t>
  </si>
  <si>
    <t>ACO CA-50, 12,5 MM, DOBRADO E CORTADO</t>
  </si>
  <si>
    <t>ARMAÇÃO UTILIZANDO AÇO CA-50 DE 12,5 MM - MONTAGEM. AF_12/2015</t>
  </si>
  <si>
    <t>ARMAÇÃO UTILIZANDO AÇO CA-50 DE 6,3 A 10 MM - MONTAGEM. AF_12/2015</t>
  </si>
  <si>
    <t>ACO CA-50, 10,0 MM, DOBRADO E CORTADO</t>
  </si>
  <si>
    <t>ACO CA-50, 6,3 MM, DOBRADO E CORTADO</t>
  </si>
  <si>
    <t>REGULARIZAÇÃO DE SUPERFICIE DE CONCRETO APARENTE</t>
  </si>
  <si>
    <t>4.3.4</t>
  </si>
  <si>
    <t>LASTRO DE CONCRETO MAGRO, APLICADO EM PISOS OU RADIERS, ESPESSURA DE 3 CM. AF_07/2016</t>
  </si>
  <si>
    <t>CONTRAPISO EM ARGAMASSA TRAÇO 1:4 (CIMENTO E AREIA), PREPARO MECÂNICO COM BETONEIRA 400 L, APLICADO EM ÁREAS MOLHADAS SOBRE LAJE, ADERIDO, E
SPESSURA 2CM. AF_06/2014</t>
  </si>
  <si>
    <t>ÁREA TOTAL (C/PISCINA)</t>
  </si>
  <si>
    <t>ÁREA DA PISCINA</t>
  </si>
  <si>
    <t>Granito amarelo São Francisco, e=2cm, l = 10cm, acabamento apicoado com borda abaulada - Borda da piscina da Bica de Lagarto, aplicado com argamassa industrializada ac-i, rejuntado, exclusive emboço</t>
  </si>
  <si>
    <t>DIMENSÕES DOS 3 DEGRAUS</t>
  </si>
  <si>
    <t>ÁREA EM PLANTA</t>
  </si>
  <si>
    <t>Ralo de fundo 2", anti-turbilhão, em bronze</t>
  </si>
  <si>
    <t>APLICAÇÃO MANUAL DE PINTURA COM TINTA LÁTEX ACRÍLICA EM PAREDES, DUAS DEMÃOS. AF_06/2014</t>
  </si>
  <si>
    <t>CONFORME PROJETO ARQUITETÔNICO</t>
  </si>
  <si>
    <t>Coadeira Skimer Modelo WC</t>
  </si>
  <si>
    <t>4.7</t>
  </si>
  <si>
    <t>4.7.1</t>
  </si>
  <si>
    <t>Dispositivo de retorno Modelo CF20</t>
  </si>
  <si>
    <t>Dispositivo de aspiração Modelo VF20</t>
  </si>
  <si>
    <t>COMPRIMENTO DAS ARQUIBANCADAS</t>
  </si>
  <si>
    <t>GUARDA-CORPO DE AÇO GALVANIZADO DE 1,10M DE ALTURA, MONTANTES TUBULARES DE 1.1/2 ESPAÇADOS DE 1,20M, TRAVESSA SUPERIOR DE 2, GRADIL FORMAD
O POR BARRAS CHATAS EM FERRO DE 32X4,8MM, FIXADO COM CHUMBADOR MECÂNIC
O. AF_04/2019_P</t>
  </si>
  <si>
    <t>REATERRO MANUAL DE VALAS COM COMPACTAÇÃO MECANIZADA. AF_04/2016</t>
  </si>
  <si>
    <t>89168</t>
  </si>
  <si>
    <t>(COMPOSIÇÃO REPRESENTATIVA) DO SERVIÇO DE ALVENARIA DE VEDAÇÃO DE BLOCOS VAZADOS DE CERÂMICA DE 9X19X19CM (ESPESSURA 9CM), PARA EDIFICAÇÃO HABITACIONAL UNIFAMILIAR (CASA) E EDIFICAÇÃO PÚBLICA PADRÃO. AF_11/2014</t>
  </si>
  <si>
    <t>74106/001</t>
  </si>
  <si>
    <t>IMPERMEABILIZACAO DE ESTRUTURAS ENTERRADAS, COM TINTA ASFALTICA, DUAS DEMAOS.</t>
  </si>
  <si>
    <t>90950</t>
  </si>
  <si>
    <t>CONTRAPISO ACÚSTICO EM ARGAMASSA TRAÇO 1:4 (CIMENTO E AREIA), PREPARO MECÂNICO COM BETONEIRA 400L, APLICADO EM ÁREAS SECAS MAIORES QUE 15M2, ESPESSURA 7CM. AF_10/2014</t>
  </si>
  <si>
    <t>PISO EM GRANILITE, MARMORITE OU GRANITINA ESPESSURA 8 MM, INCLUSO JUNTAS DE DILATACAO PLASTICAS</t>
  </si>
  <si>
    <t>87879</t>
  </si>
  <si>
    <t>CHAPISCO APLICADO EM ALVENARIAS E ESTRUTURAS DE CONCRETO INTERNAS, COM COLHER DE PEDREIRO.  ARGAMASSA TRAÇO 1:3 COM PREPARO EM BETONEIRA 400L. AF_06/2014</t>
  </si>
  <si>
    <t>REVESTIMENTO CERÂMICO PARA PAREDES INTERNAS COM PLACAS TIPO ESMALTADA EXTRA DE DIMENSÕES 25X35 CM APLICADAS EM AMBIENTES DE ÁREA MAIOR QUE 5
M² NA ALTURA INTEIRA DAS PAREDES. AF_06/2014</t>
  </si>
  <si>
    <t>APLICAÇÃO E LIXAMENTO DE MASSA LÁTEX EM PAREDES, DUAS DEMÃOS. AF_06/2014</t>
  </si>
  <si>
    <t>88489</t>
  </si>
  <si>
    <t>88431</t>
  </si>
  <si>
    <t>APLICAÇÃO MANUAL DE PINTURA COM TINTA TEXTURIZADA ACRÍLICA EM PAREDES EXTERNAS DE CASAS, DUAS CORES. AF_06/2014</t>
  </si>
  <si>
    <t>88496</t>
  </si>
  <si>
    <t>APLICAÇÃO E LIXAMENTO DE MASSA LÁTEX EM TETO, DUAS DEMÃOS. AF_06/2014</t>
  </si>
  <si>
    <t>88488</t>
  </si>
  <si>
    <t>APLICAÇÃO MANUAL DE PINTURA COM TINTA LÁTEX ACRÍLICA EM TETO, DUAS DEMÃOS. AF_06/2014</t>
  </si>
  <si>
    <t>KIT DE PORTA DE MADEIRA PARA PINTURA, SEMI-OCA (LEVE OU MÉDIA), PADRÃO POPULAR, 70X210CM, ESPESSURA DE 3,5CM, ITENS INCLUSOS: DOBRADIÇAS, MONTAGEM E INSTALAÇÃO DO BATENTE, FECHADURA COM EXECUÇÃO DO FURO - FORNECIMENTO E INSTALAÇÃO. AF_08/2014</t>
  </si>
  <si>
    <t>91314</t>
  </si>
  <si>
    <t>KIT DE PORTA DE MADEIRA PARA PINTURA, SEMI-OCA (LEVE OU MÉDIA), PADRÃO POPULAR, 80X210CM, ESPESSURA DE 3,5CM, ITENS INCLUSOS: DOBRADIÇAS, MONTAGEM E INSTALAÇÃO DO BATENTE, FECHADURA COM EXECUÇÃO DO FURO - FORNECIMENTO E INSTALAÇÃO. AF_08/2015</t>
  </si>
  <si>
    <t>91315</t>
  </si>
  <si>
    <t>KIT DE PORTA DE MADEIRA PARA PINTURA, SEMI-OCA (LEVE OU MÉDIA), PADRÃO POPULAR, 90X210CM, ESPESSURA DE 3,5CM, ITENS INCLUSOS: DOBRADIÇAS, MONTAGEM E INSTALAÇÃO DO BATENTE, FECHADURA COM EXECUÇÃO DO FURO - FORNECIMENTO E INSTALAÇÃO. AF_08/2015</t>
  </si>
  <si>
    <t>74065/002</t>
  </si>
  <si>
    <t>PINTURA ESMALTE ACETINADO PARA MADEIRA, DUAS DEMAOS, SOBRE FUNDO NIVELADOR BRANCO</t>
  </si>
  <si>
    <t>INSTALAÇÕES ELÉTRICAS DAS ARQUIBANCADAS</t>
  </si>
  <si>
    <t>UND</t>
  </si>
  <si>
    <t>5.1.1</t>
  </si>
  <si>
    <t>5.1.2</t>
  </si>
  <si>
    <t>5.1.3</t>
  </si>
  <si>
    <t>5.1.4</t>
  </si>
  <si>
    <t>5.2.1</t>
  </si>
  <si>
    <t>POSTES</t>
  </si>
  <si>
    <t>5.2.1.1</t>
  </si>
  <si>
    <t>5.2.1.2</t>
  </si>
  <si>
    <t>4.6.1.1</t>
  </si>
  <si>
    <t>4.6.2.1</t>
  </si>
  <si>
    <t>4.6.1.2</t>
  </si>
  <si>
    <t>4.7.2</t>
  </si>
  <si>
    <t>4.7.3</t>
  </si>
  <si>
    <t>4.7.4</t>
  </si>
  <si>
    <t>4.7.5</t>
  </si>
  <si>
    <t>4.7.6</t>
  </si>
  <si>
    <t>4.8</t>
  </si>
  <si>
    <t>4.8.1</t>
  </si>
  <si>
    <t>3.2.2</t>
  </si>
  <si>
    <t>3.2.3</t>
  </si>
  <si>
    <t>CONFORME PROJETO ELÉTRICO</t>
  </si>
  <si>
    <t>ACABAMENTOS / LOUÇA E METAIS / KIT PNE</t>
  </si>
  <si>
    <t>RAMAIS</t>
  </si>
  <si>
    <t>REGISTRO COM ACABAMENTOS / BOIAS</t>
  </si>
  <si>
    <t>RESERVATÓRIO / CAVALETE DE MEDIÇÃO</t>
  </si>
  <si>
    <t>CAIXA DE INSPEÇÃO / GORDURA</t>
  </si>
  <si>
    <t>BOIA AUTOMÁTICA P/CAIXA D´ÁGUA 15AMPERES</t>
  </si>
  <si>
    <t>CONFORME PROJETO HIDROSSANIRÁRIO</t>
  </si>
  <si>
    <t>PONTO DE TOMADA RESIDENCIAL INCLUINDO TOMADA 10A/250V, CAIXA ELÉTRICA, ELETRODUTO, CABO, RASGO, QUEBRA E CHUMBAMENTO. AF_01/2016</t>
  </si>
  <si>
    <t>PONTO DE TOMADA RESIDENCIAL INCLUINDO TOMADA 20A/250V, CAIXA ELÉTRICA, ELETRODUTO, CABO, RASGO, QUEBRA E CHUMBAMENTO. AF_01/2016</t>
  </si>
  <si>
    <t>74131/005</t>
  </si>
  <si>
    <t>QUADRO DE DISTRIBUICAO DE ENERGIA DE EMBUTIR, EM CHAPA METALICA, PARA 24 DISJUNTORES TERMOMAGNETICOS MONOPOLARES, COM BARRAMENTO TRIFASICO E NEUTRO, FORNECIMENTO E INSTALACAO</t>
  </si>
  <si>
    <t>Quadro de medição trifásica (acima de 10 kva) com caixa em noril</t>
  </si>
  <si>
    <t>74130/005</t>
  </si>
  <si>
    <t>DISJUNTOR TERMOMAGNETICO TRIPOLAR PADRAO NEMA (AMERICANO) 60 A 100A 240V, FORNECIMENTO E INSTALACAO</t>
  </si>
  <si>
    <t>74130/004</t>
  </si>
  <si>
    <t>DISJUNTOR TERMOMAGNETICO TRIPOLAR PADRAO NEMA (AMERICANO) 10 A 50A 240V, FORNECIMENTO E INSTALACAO</t>
  </si>
  <si>
    <t>80 A</t>
  </si>
  <si>
    <t>16 A</t>
  </si>
  <si>
    <t>40 A</t>
  </si>
  <si>
    <t>63 A</t>
  </si>
  <si>
    <t>10 A</t>
  </si>
  <si>
    <t xml:space="preserve">	Entrada de energia elétrica trifásica demanda entre 0 e 15,2 kw - Rev 01</t>
  </si>
  <si>
    <t xml:space="preserve">	Caixa de passagem pvc, 4" x 2" cm, embutir, p/eletroduto</t>
  </si>
  <si>
    <t>Caixa de passagem em alumínio para piso 4" x 2" - Fornecimento e assentamento</t>
  </si>
  <si>
    <t xml:space="preserve">	Ponto de interruptor 01 seção (1 s) embutido com eletroduto de pvc flexível sanfonado Ø 3/4"</t>
  </si>
  <si>
    <t xml:space="preserve">	Ponto de interruptor 01 seção paralela, embutido, com eletroduto de pvc flexível sanfonado Ø 3/4"</t>
  </si>
  <si>
    <t>pt</t>
  </si>
  <si>
    <t xml:space="preserve">	Ponto de interruptor 02 seções (2 s) embutido com eletroduto de pvc flexível sanfonado embutido Ø 3/4"	</t>
  </si>
  <si>
    <t>PONTO DE ILUMINAÇÃO RESIDENCIAL INCLUINDO INTERRUPTOR SIMPLES, CAIXA ELÉTRICA, ELETRODUTO, CABO, RASGO, QUEBRA E CHUMBAMENTO (EXCLUINDO LUMI
NÁRIA E LÂMPADA). AF_01/2016</t>
  </si>
  <si>
    <t>LUMINÁRIA TIPO PLAFON EM PLÁSTICO, DE SOBREPOR, COM 1 LÂMPADA DE 20 W, - FORNECIMENTO E INSTALAÇÃO. AF_11/2017</t>
  </si>
  <si>
    <t>38191</t>
  </si>
  <si>
    <t xml:space="preserve">LAMPADA FLUORESCENTE COMPACTA 3U BRANCA 20 W, BASE E27 (127/220 V) </t>
  </si>
  <si>
    <t>38773</t>
  </si>
  <si>
    <t>LUMINARIA DE TETO PLAFON/PLAFONIER EM PLASTICO COM BASE E27, POTENCIA MAXIMA 60 W (NAO INCLUI LAMPADA)</t>
  </si>
  <si>
    <t>88247</t>
  </si>
  <si>
    <t>AUXILIAR DE ELETRICISTA COM ENCARGOS COMPLEMENTARES</t>
  </si>
  <si>
    <t>88264</t>
  </si>
  <si>
    <t>ELETRICISTA COM ENCARGOS COMPLEMENTARES</t>
  </si>
  <si>
    <t>LUMINÁRIA TIPO CALHA, DE SOBREPOR, COM 2 LÂMPADAS TUBULARES DE 36 W
FORNECIMENTO E INSTALAÇÃO. AF_11/2017</t>
  </si>
  <si>
    <t>Ponto de esgoto com tubo de pvc rígido soldável de Ø 40 mm (lavatórios, mictórios, ralos sifonados, etc...)</t>
  </si>
  <si>
    <t>Ponto de esgoto com tubo de pvc rígido soldável de Ø 50 mm (pias de cozinha, máquinas de lavar, etc...)</t>
  </si>
  <si>
    <t>Ponto de esgoto com tubo de pvc rígido soldável de Ø 100 mm (vaso sanitário)</t>
  </si>
  <si>
    <t xml:space="preserve">	Terminal de ventilação em pvc rígido soldável, para esgoto primário, diâm = 75mm</t>
  </si>
  <si>
    <t>REGISTRO DE GAVETA BRUTO, LATÃO, ROSCÁVEL, 3/4", FORNECIDO E INSTALADO EM RAMAL DE ÁGUA. AF_12/2014</t>
  </si>
  <si>
    <t>KIT CAVALETE PARA MEDIÇÃO DE ÁGUA - ENTRADA INDIVIDUALIZADA, EM PVC DN 25 (¾), PARA 1 MEDIDOR FORNECIMENTO E INSTALAÇÃO (EXCLUSIVE HIDRÔMETRO). AF_11/2016</t>
  </si>
  <si>
    <t>PONTO DE CONSUMO TERMINAL DE ÁGUA FRIA (SUBRAMAL) COM TUBULAÇÃO DE PVC , DN 25 MM, INSTALADO EM RAMAL DE ÁGUA, INCLUSOS RASGO E CHUMBAMENTO EM ALVENARIA. AF_12/2014</t>
  </si>
  <si>
    <t>(COMPOSIÇÃO REPRESENTATIVA) DO SERVIÇO DE INSTALAÇÃO DE TUBOS DE PVC, SOLDÁVEL, ÁGUA FRIA, DN 25 MM (INSTALADO EM RAMAL, SUB-RAMAL, RAMAL DE
DISTRIBUIÇÃO OU PRUMADA), INCLUSIVE CONEXÕES, CORTES E FIXAÇÕES, PARA PRÉDIOS. AF_10/2015</t>
  </si>
  <si>
    <t>(COMPOSIÇÃO REPRESENTATIVA) DO SERVIÇO DE INSTALAÇÃO TUBOS DE PVC, SOLDÁVEL, ÁGUA FRIA, DN 32 MM (INSTALADO EM RAMAL, SUB-RAMAL, RAMAL DE DISTRIBUIÇÃO OU PRUMADA), INCLUSIVE CONEXÕES, CORTES E FIXAÇÕES, PARA PRÉDIOS. AF_10/2015</t>
  </si>
  <si>
    <t>(COMPOSIÇÃO REPRESENTATIVA) DO SERVIÇO DE INSTALAÇÃO DE TUBOS DE PVC, SOLDÁVEL, ÁGUA FRIA, DN 40 MM (INSTALADO EM PRUMADA), INCLUSIVE CONEXÕES, CORTES E FIXAÇÕES, PARA PRÉDIOS. AF_10/2015</t>
  </si>
  <si>
    <t>(COMPOSIÇÃO REPRESENTATIVA) DO SERVIÇO DE INSTALAÇÃO DE TUBO DE PVC, SÉRIE NORMAL, ESGOTO PREDIAL, DN 40 MM (INSTALADO EM RAMAL DE DESCARGA OU RAMAL DE ESGOTO SANITÁRIO), INCLUSIVE CONEXÕES, CORTES E FIXAÇÕES, PARA PRÉDIOS. AF_10/2015</t>
  </si>
  <si>
    <t>(COMPOSIÇÃO REPRESENTATIVA) DO SERVIÇO DE INSTALAÇÃO DE TUBO DE PVC, SÉRIE NORMAL, ESGOTO PREDIAL, DN 50 MM (INSTALADO EM RAMAL DE DESCARGA OU RAMAL DE ESGOTO SANITÁRIO), INCLUSIVE CONEXÕES, CORTES E FIXAÇÕES PARA, PRÉDIOS. AF_10/2015</t>
  </si>
  <si>
    <t>(COMPOSIÇÃO REPRESENTATIVA) DO SERVIÇO DE INST. TUBO PVC, SÉRIE N, ESGOTO PREDIAL, 100 MM (INST. RAMAL DESCARGA, RAMAL DE ESG. SANIT., PRUMADA ESG. SANIT., VENTILAÇÃO OU SUB-COLETOR AÉREO), INCL. CONEXÕES E CORTES, FIXAÇÕES, P/ PRÉDIOS. AF_10/2015</t>
  </si>
  <si>
    <t>REGISTRO DE ESFERA, PVC, SOLDÁVEL, DN 40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</si>
  <si>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</si>
  <si>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CAIXA D'AGUA EM POLIETILENO 2000 LITROS, COM TAMPA</t>
  </si>
  <si>
    <t>JOELHO 90 GRAUS, PVC, SOLDÁVEL, DN 25MM, INSTALADO EM RAMAL DE DISTRIBUIÇÃO DE ÁGUA - FORNECIMENTO E INSTALAÇÃO. AF_12/2014</t>
  </si>
  <si>
    <t>TUBO, PVC, SOLDÁVEL, DN  25 MM, INSTALADO EM RESERVAÇÃO DE ÁGUA DE EDIFICAÇÃO QUE POSSUA RESERVATÓRIO DE FIBRA/FIBROCIMENTO   FORNECIMENTO E INSTALAÇÃO. AF_06/2016</t>
  </si>
  <si>
    <t>TÊ, PVC, SOLDÁVEL, DN  25 MM INSTALADO EM RESERVAÇÃO DE ÁGUA DE EDIFICAÇÃO QUE POSSUA RESERVATÓRIO DE FIBRA/FIBROCIMENTO   FORNECIMENTO E INSTALAÇÃO. AF_06/2016</t>
  </si>
  <si>
    <t>ADAPTADOR COM FLANGE E ANEL DE VEDAÇÃO, PVC, SOLDÁVEL, DN  25 MM X 3/4 , INSTALADO EM RESERVAÇÃO DE ÁGUA DE EDIFICAÇÃO QUE POSSUA RESERVATÓRIO DE FIBRA/FIBROCIMENTO   FORNECIMENTO E INSTALAÇÃO. AF_06/2016</t>
  </si>
  <si>
    <t>EXECUÇÃO DE RESERVATÓRIO ELEVADO DE ÁGUA (2000 LITROS). AF_02/2016</t>
  </si>
  <si>
    <t xml:space="preserve">	Caixa de gordura - "cg" - (50 x 50 x 65cm)</t>
  </si>
  <si>
    <t xml:space="preserve">	Caixa de inspeção 0.60 x 0.60 x 0.60m</t>
  </si>
  <si>
    <t>LAVATORIO/CUBA DE SOBREPOR OVAL PEQUENA LOUCA BRANCA SEM LADRAO *31 X 44*</t>
  </si>
  <si>
    <t>BANCADA/BANCA/PIA DE ACO INOXIDAVEL (AISI 430) COM 2 CUBAS, COM VALVULAS, 
ESCORREDOR DUPLO, DE *0,55 X 2,00* M</t>
  </si>
  <si>
    <t>LAVATORIO LOUCA BRANCA SUSPENSO *40 X 30* CM</t>
  </si>
  <si>
    <t>VASO SANITÁRIO SIFONADO COM CAIXA ACOPLADA LOUÇA BRANCA, INCLUSO ENGATE FLEXÍVEL EM PLÁSTICO BRANCO, 1/2 X 40CM - FORNECIMENTO E INSTALAÇÃO
. AF_12/2013</t>
  </si>
  <si>
    <t>VASO SANITARIO SIFONADO CONVENCIONAL PARA PCD SEM FURO FRONTAL COM LOUÇA BRANCA SEM ASSENTO, INCLUSO CONJUNTO DE LIGAÇÃO PARA BACIA SANITÁRI
A AJUSTÁVEL - FORNECIMENTO E INSTALAÇÃO. AF_10/2016</t>
  </si>
  <si>
    <t>ASSENTO SANITARIO DE PLASTICO, TIPO CONVENCIONAL</t>
  </si>
  <si>
    <t>Assento Sanitário Elevado com Tampa 7,5 Cm, indicado para Pós-cirúrgicos, Deficientes físicos e Idosos, da Mebuki ou similar</t>
  </si>
  <si>
    <t>BARRA DE APOIO RETA, EM ALUMINIO, COMPRIMENTO 70CM, DIAMETRO MINIMO 3 CM</t>
  </si>
  <si>
    <t>CHUVEIRO PLASTICO BRANCO SIMPLES 5 '' PARA ACOPLAR EM HASTE 1/2 ", AGUA FRIA</t>
  </si>
  <si>
    <t>7612</t>
  </si>
  <si>
    <t>Torneira de mesa com fechamento automático, linha Link, DECA, ref. 1172 C ou similar</t>
  </si>
  <si>
    <t>TORNEIRA CROMADA CURTA SEM BICO PARA USO GERAL 1/2 " OU 3/4 " (REF 1152)</t>
  </si>
  <si>
    <t>10100</t>
  </si>
  <si>
    <t>Torneira de parede, cromada, fechamento automático, Biopress, ref. 1182-BIO, da Fabrimar ou similar</t>
  </si>
  <si>
    <t>Refletor retangular fechado com lampada vapor metalico 400 w</t>
  </si>
  <si>
    <t>VIDRO</t>
  </si>
  <si>
    <t>ALUMÍNIO/AÇO</t>
  </si>
  <si>
    <t>ESMALTE PARA 21 PORTAS (P/AS DUAS FACES)</t>
  </si>
  <si>
    <t>QTDE</t>
  </si>
  <si>
    <t>PORTA DE ALUMÍNIO DE ABRIR COM LAMBRI, COM GUARNIÇÃO, FIXAÇÃO COM PARA FUSOS - FORNECIMENTO E INSTALAÇÃO. AF_08/2015</t>
  </si>
  <si>
    <t xml:space="preserve">	Porta de ferro de abrir tipo barra chata, com requadro e guarnicao completa</t>
  </si>
  <si>
    <t>PINTURA ESMALTE ACETINADO, DUAS DEMAOS, SOBRE SUPERFICIE METALICA</t>
  </si>
  <si>
    <t>73924/002</t>
  </si>
  <si>
    <t>VIDRO LISO COMUM TRANSPARENTE, ESPESSURA 4MM</t>
  </si>
  <si>
    <t>CAIXILHO FIXO, DE ALUMINIO, PARA VIDRO</t>
  </si>
  <si>
    <t>VIDRO TEMPERADO INCOLOR, ESPESSURA 6MM, FORNECIMENTO E INSTALACAO, INCLUSIVE MASSA PARA VEDACAO</t>
  </si>
  <si>
    <t>VIDRO PARA AS JANELAS</t>
  </si>
  <si>
    <t xml:space="preserve">40% DO VOLUME DE ESCAVAÇÃO </t>
  </si>
  <si>
    <t>LANÇAMENTO COM USO DE BALDES, ADENSAMENTO E ACABAMENTO DE CONCRETO EM ESTRUTURAS. AF_12/2015</t>
  </si>
  <si>
    <t>ALVENARIA DE VEDAÇÃO DE BLOCOS CERÂMICOS FURADOS NA VERTICAL DE 19X19X39CM (ESPESSURA 19CM) DE PAREDES COM ÁREA LÍQUIDA MAIOR OU IGUAL A 6M² SEM VÃOS E ARGAMASSA DE ASSENTAMENTO COM PREPARO EM BETONEIRA. AF_06/2014</t>
  </si>
  <si>
    <t>PILARES</t>
  </si>
  <si>
    <t>LAJES</t>
  </si>
  <si>
    <t>VIGAS</t>
  </si>
  <si>
    <t>DESCONTOS</t>
  </si>
  <si>
    <t>MURO</t>
  </si>
  <si>
    <t>PLATIBANDA</t>
  </si>
  <si>
    <t>IGUAL À ÁREA DE LAJE</t>
  </si>
  <si>
    <t>FACES</t>
  </si>
  <si>
    <t>Gradil de ferro c/barra chata d=3/4" verticais espaç.13cm, pilares em perfil seção quadrada de 5x5cm, vertical espaç.2,50m, c/03 (tres) barras paralelas horizontais 1"x1/4", exclusive mureta</t>
  </si>
  <si>
    <t>INSTALAÇÃO DE ÁGUAS PLUVIAIS</t>
  </si>
  <si>
    <t>CALHA EM CHAPA DE AÇO GALVANIZADO NÚMERO 24, DESENVOLVIMENTO DE 33 CM, INCLUSO TRANSPORTE VERTICAL. AF_07/2019</t>
  </si>
  <si>
    <t>(COMPOSIÇÃO REPRESENTATIVA) DO SERVIÇO DE INSTALAÇÃO DE TUBOS DE PVC, SÉRIE R, ÁGUA PLUVIAL, DN 100 MM (INSTALADO EM RAMAL DE ENCAMINHAMENTO, OU CONDUTORES VERTICAIS), INCLUSIVE CONEXÕES, CORTES E FIXAÇÕES, PARA PRÉDIOS. AF_10/2015</t>
  </si>
  <si>
    <t>(COMPOSIÇÃO REPRESENTATIVA) DO SERVIÇO DE INSTALAÇÃO DE TUBOS DE PVC, SÉRIE R, ÁGUA PLUVIAL, DN 150 MM (INSTALADO EM CONDUTORES VERTICAIS), INCLUSIVE CONEXÕES, CORTES E FIXAÇÕES, PARA PRÉDIOS. AF_10/2015</t>
  </si>
  <si>
    <t xml:space="preserve">	Ralo hemisférico em fº fº, tipo abacaxi Ø 100mm</t>
  </si>
  <si>
    <t>Ralo hemisférico em ferro fundido tipo abacaxi, DN=150mm</t>
  </si>
  <si>
    <t>2.3.1</t>
  </si>
  <si>
    <t>2.3.2</t>
  </si>
  <si>
    <t>2.4.3</t>
  </si>
  <si>
    <t>4.5.6</t>
  </si>
  <si>
    <t>4.6.1.3</t>
  </si>
  <si>
    <t>6.2.1.1</t>
  </si>
  <si>
    <t>6.2.1.2</t>
  </si>
  <si>
    <t>6.2.1.3</t>
  </si>
  <si>
    <t>6.2.1.4</t>
  </si>
  <si>
    <t>6.2.2.1</t>
  </si>
  <si>
    <t>6.3.2</t>
  </si>
  <si>
    <t>6.3.3</t>
  </si>
  <si>
    <t>6.5</t>
  </si>
  <si>
    <t>6.5.1</t>
  </si>
  <si>
    <t>6.5.1.1</t>
  </si>
  <si>
    <t>6.5.1.2</t>
  </si>
  <si>
    <t>6.5.2</t>
  </si>
  <si>
    <t>6.5.4</t>
  </si>
  <si>
    <t>6.5.3</t>
  </si>
  <si>
    <t>6.5.2.1</t>
  </si>
  <si>
    <t>6.5.2.2</t>
  </si>
  <si>
    <t>6.5.2.3</t>
  </si>
  <si>
    <t>6.5.3.1</t>
  </si>
  <si>
    <t>6.5.4.1</t>
  </si>
  <si>
    <t>6.5.4.2</t>
  </si>
  <si>
    <t>6.6</t>
  </si>
  <si>
    <t>6.6.1</t>
  </si>
  <si>
    <t>6.6.1.1</t>
  </si>
  <si>
    <t>6.6.2</t>
  </si>
  <si>
    <t>6.6.3</t>
  </si>
  <si>
    <t>6.7</t>
  </si>
  <si>
    <t>6.7.1</t>
  </si>
  <si>
    <t>6.7.2</t>
  </si>
  <si>
    <t>6.8</t>
  </si>
  <si>
    <t>6.8.1</t>
  </si>
  <si>
    <t>6.8.2</t>
  </si>
  <si>
    <t>6.8.4</t>
  </si>
  <si>
    <t>6.8.3</t>
  </si>
  <si>
    <t>6.8.5</t>
  </si>
  <si>
    <t>6.8.6</t>
  </si>
  <si>
    <t>6.9</t>
  </si>
  <si>
    <t>6.9.1</t>
  </si>
  <si>
    <t>6.9.2</t>
  </si>
  <si>
    <t>6.9.3</t>
  </si>
  <si>
    <t>6.9.4</t>
  </si>
  <si>
    <t>6.9.5</t>
  </si>
  <si>
    <t>6.8.6.1</t>
  </si>
  <si>
    <t>6.8.5.1</t>
  </si>
  <si>
    <t>6.8.5.2</t>
  </si>
  <si>
    <t>6.8.6.2</t>
  </si>
  <si>
    <t>6.8.4.1</t>
  </si>
  <si>
    <t>6.8.4.2</t>
  </si>
  <si>
    <t>6.8.4.3</t>
  </si>
  <si>
    <t>6.8.4.4</t>
  </si>
  <si>
    <t>6.8.3.1</t>
  </si>
  <si>
    <t>6.8.3.2</t>
  </si>
  <si>
    <t>6.8.3.3</t>
  </si>
  <si>
    <t>6.8.3.4</t>
  </si>
  <si>
    <t>6.8.3.5</t>
  </si>
  <si>
    <t>6.8.3.6</t>
  </si>
  <si>
    <t>6.8.2.1</t>
  </si>
  <si>
    <t>6.8.2.2</t>
  </si>
  <si>
    <t>6.8.2.3</t>
  </si>
  <si>
    <t>6.8.2.4</t>
  </si>
  <si>
    <t>6.8.2.5</t>
  </si>
  <si>
    <t>6.8.1.1</t>
  </si>
  <si>
    <t>6.8.1.2</t>
  </si>
  <si>
    <t>6.8.1.3</t>
  </si>
  <si>
    <t>6.8.1.4</t>
  </si>
  <si>
    <t>6.8.1.5</t>
  </si>
  <si>
    <t>6.8.1.6</t>
  </si>
  <si>
    <t>6.8.1.7</t>
  </si>
  <si>
    <t>6.8.1.8</t>
  </si>
  <si>
    <t>6.8.1.9</t>
  </si>
  <si>
    <t>6.8.1.10</t>
  </si>
  <si>
    <t>6.8.1.11</t>
  </si>
  <si>
    <t>6.8.1.12</t>
  </si>
  <si>
    <t>6.8.1.13</t>
  </si>
  <si>
    <t>6.7.2.1</t>
  </si>
  <si>
    <t>6.7.2.2</t>
  </si>
  <si>
    <t>6.7.2.3</t>
  </si>
  <si>
    <t>6.7.2.4</t>
  </si>
  <si>
    <t>6.7.2.5</t>
  </si>
  <si>
    <t>6.7.2.6</t>
  </si>
  <si>
    <t>6.7.2.7</t>
  </si>
  <si>
    <t>6.7.1.1</t>
  </si>
  <si>
    <t>6.7.1.2</t>
  </si>
  <si>
    <t>6.7.1.3</t>
  </si>
  <si>
    <t>6.7.1.4</t>
  </si>
  <si>
    <t>6.7.1.5</t>
  </si>
  <si>
    <t>6.7.1.6</t>
  </si>
  <si>
    <t>6.7.1.7</t>
  </si>
  <si>
    <t>6.7.1.8</t>
  </si>
  <si>
    <t>6.6.3.1</t>
  </si>
  <si>
    <t>6.6.3.2</t>
  </si>
  <si>
    <t>6.6.1.2</t>
  </si>
  <si>
    <t>6.6.1.3</t>
  </si>
  <si>
    <t>6.6.1.4</t>
  </si>
  <si>
    <t>6.6.2.1</t>
  </si>
  <si>
    <t>6.6.2.2</t>
  </si>
  <si>
    <t>6.6.2.3</t>
  </si>
  <si>
    <t>6.6.2.4</t>
  </si>
  <si>
    <t>6.6.2.5</t>
  </si>
  <si>
    <t>6.6.2.6</t>
  </si>
  <si>
    <t>6.6.2.7</t>
  </si>
  <si>
    <t>6.6.2.8</t>
  </si>
  <si>
    <t>ALAMBRADO PARA QUADRA POLIESPORTIVA, ESTRUTURADO POR TUBOS DE ACO GALVANIZADO, COM COSTURA, DIN 2440, DIAMETRO 2", COM TELA DE ARAME GALVANIZADO, FIO 14 BWG E MALHA QUADRADA 5X5CM</t>
  </si>
  <si>
    <t>TELA DE ARAME GALV QUADRANGULAR / LOSANGULAR, FIO 2,11 MM (14 BWG), MALHA 5 X 5 CM, H = 2 M</t>
  </si>
  <si>
    <t>Concreto fck = 20mpa, traço 1:2,7:3 (cimento/ areia média/ brita 1) - preparo mecânico com betoneira 600 l, af_07/2016</t>
  </si>
  <si>
    <t>CONCRETO USINADO BOMBEAVEL, CLASSE DE RESISTENCIA C25, COM BRITA 0 E 1, SLUMP = 
100 +/- 20 MM, EXCLUI SERVICO DE BOMBEAMENTO (NBR 8953)</t>
  </si>
  <si>
    <t>Poste oficial para volei em aço galvanizado d=3", c/esticador e catraca (cod.3008)</t>
  </si>
  <si>
    <t>Forma plana para estruturas, em compensado plastificado de 10mm, 02 usos, inclusive escoramento - Revisada 07.2015</t>
  </si>
  <si>
    <t>ÁREA AO REDOR DA PISCINA</t>
  </si>
  <si>
    <t>EXECUÇÃO DE PÁTIO/ESTACIONAMENTO EM PISO INTERTRAVADO, COM BLOCO RETANGULAR COR NATURAL DE 20 X 10 CM, ESPESSURA 6 CM. AF_12/2015</t>
  </si>
  <si>
    <t>LASTRO DE CONCRETO MAGRO, APLICADO EM BLOCOS DE COROAMENTO OU SAPATAS, ESPESSURA DE 3 CM. AF_08/2017</t>
  </si>
  <si>
    <t>Concreto Armado fck=21,0MPa, usinado, bombeado, adensado e lançado, para Uso Geral, com formas planas em compensado resinado 12mm (05 usos)</t>
  </si>
  <si>
    <t>CINTAS</t>
  </si>
  <si>
    <t>SAPATAS</t>
  </si>
  <si>
    <t>SEÇÃO</t>
  </si>
  <si>
    <t xml:space="preserve">QTDE </t>
  </si>
  <si>
    <t>COBERTURA</t>
  </si>
  <si>
    <t>TELHAMENTO COM TELHA ONDULADA DE FIBROCIMENTO E = 6 MM, COM RECOBRIMENTO LATERAL DE 1 1/4 DE ONDA PARA TELHADO COM INCLINAÇÃO MÁXIMA DE 10°, COM ATÉ 2 ÁGUAS, INCLUSO IÇAMENTO. AF_07/2019</t>
  </si>
  <si>
    <t>6.4.2</t>
  </si>
  <si>
    <t>TRAMA DE MADEIRA COMPOSTA POR TERÇAS PARA TELHADOS DE ATÉ 2 ÁGUAS PARA TELHA ONDULADA DE FIBROCIMENTO, METÁLICA, PLÁSTICA OU TERMOACÚSTICA, INCLUSO TRANSPORTE VERTICAL. AF_07/2019</t>
  </si>
  <si>
    <t>4.9</t>
  </si>
  <si>
    <t>4.9.1</t>
  </si>
  <si>
    <t>TELHAMENTO COM TELHA METÁLICA TERMOACÚSTICA E = 30 MM, COM ATÉ 2 ÁGUAS, INCLUSO IÇAMENTO. AF_07/2019</t>
  </si>
  <si>
    <t>PRIMER PARA MANTA ASFALTICA A BASE DE ASFALTO MODIFICADO DILUIDO EM SOLVENTE, APLICACAO A FRIO</t>
  </si>
  <si>
    <t>L</t>
  </si>
  <si>
    <t>GAS DE COZINHA - GLP</t>
  </si>
  <si>
    <t>AJUDANTE ESPECIALIZADO COM ENCARGOS COMPLEMENTARES</t>
  </si>
  <si>
    <t>IMPERMEABILIZADOR COM ENCARGOS COMPLEMENTARES</t>
  </si>
  <si>
    <t>MANTA ASFALTICA ELASTOMERICA EM POLIESTER 4 MM, TIPO III, CLASSE B, ACABAMENTO 
PP (NBR 9952)</t>
  </si>
  <si>
    <t>IMPERMEABILIZAÇÃO DE SUPERFÍCIE COM MANTA ASFÁLTICA, UMA CAMADA, INCLUSIVE APLICAÇÃO DE PRIMER ASFÁLTICO, E=4MM.</t>
  </si>
  <si>
    <t>Revestimento cerâmico para parede, 10 x 10 cm, Eliane, linha galeria branco mesh, pei - 3, aplicado com argamassa industrializada ac-ii, rejuntado, exclusive regularização de base ou emboço - Rev 01</t>
  </si>
  <si>
    <t>ALVENARIA DE VEDAÇÃO DE BLOCOS CERÂMICOS FURADOS NA HORIZONTAL DE 9X19X19CM (ESPESSURA 9CM) DE PAREDES COM ÁREA LÍQUIDA MAIOR OU IGUAL A 6M² SEM VÃOS E ARGAMASSA DE ASSENTAMENTO COM PREPARO MANUAL. AF_06/2014</t>
  </si>
  <si>
    <t xml:space="preserve">	Telhamento com telha metálica em chapa de aço galvanizado natural ondulada e=0,5mm</t>
  </si>
  <si>
    <t>Porta em madeira compensada (canela), lisa, semi-ôca, 1.00 x 2.10 m, inclusive batentes e ferragens</t>
  </si>
  <si>
    <t>und</t>
  </si>
  <si>
    <t>KIT DE PORTA DE MADEIRA PARA PINTURA, SEMI-OCA (LEVE OU MÉDIA), PADRÃO MÉDIO, 90X210CM, ESPESSURA DE 3,5CM, ITENS INCLUSOS: DOBRADIÇAS, MONTAGEM E INSTALAÇÃO DO BATENTE, FECHADURA COM EXECUÇÃO DO FURO - FORNECIMENTO E INSTALAÇÃO. AF_08/2015</t>
  </si>
  <si>
    <t>KIT DE PORTA DE MADEIRA PARA PINTURA, SEMI-OCA (LEVE OU MÉDIA), PADRÃO MÉDIO, 60X210CM, ESPESSURA DE 3,5CM, ITENS INCLUSOS: DOBRADIÇAS, MONTAGEM E INSTALAÇÃO DO BATENTE, SEM FECHADURA - FORNECIMENTO E INSTALAÇÃO. AF_08/2015</t>
  </si>
  <si>
    <t>KIT DE PORTA DE MADEIRA PARA PINTURA, SEMI-OCA (LEVE OU MÉDIA), PADRÃO MÉDIO, 80X210CM, ESPESSURA DE 3,5CM, ITENS INCLUSOS: DOBRADIÇAS, MONTAGEM E INSTALAÇÃO DO BATENTE, SEM FECHADURA - FORNECIMENTO E INSTALAÇÃO. AF_08/2015</t>
  </si>
  <si>
    <t>Ferrolho ou targeta de fio redondo ( aliança ou similar ) ref.81098 63mm (2 1/2")</t>
  </si>
  <si>
    <t>PISOS</t>
  </si>
  <si>
    <t>EXECUÇÃO DE PASSEIO (CALÇADA) OU PISO DE CONCRETO COM CONCRETO MOLDADO IN LOCO, USINADO, ACABAMENTO CONVENCIONAL, ESPESSURA 10 CM, ARMADO. AF_07/2016</t>
  </si>
  <si>
    <t xml:space="preserve">	Rampa padrão para acesso de deficientes a passeio público, em concreto simples Fck=25MPa, desempolada, com pintura indicativa em novacor, 02 demãos</t>
  </si>
  <si>
    <t>PINTURA</t>
  </si>
  <si>
    <t>APLICAÇÃO MANUAL DE FUNDO SELADOR ACRÍLICO EM PAREDES EXTERNAS DE CASA S. AF_06/2014</t>
  </si>
  <si>
    <t>PINTURA ACRILICA DE FAIXAS DE DEMARCACAO EM QUADRA POLIESPORTIVA, 5 CM DE LARGURA</t>
  </si>
  <si>
    <t>APLICAÇÃO MANUAL DE MASSA ACRÍLICA EM PAREDES EXTERNAS DE CASAS, UMA DEMÃO. AF_05/2017</t>
  </si>
  <si>
    <t>73924/001</t>
  </si>
  <si>
    <t>PINTURA ESMALTE ALTO BRILHO, DUAS DEMAOS, SOBRE SUPERFICIE METALICA</t>
  </si>
  <si>
    <t>73865/001</t>
  </si>
  <si>
    <t>FUNDO PREPARADOR PRIMER A BASE DE EPOXI, PARA ESTRUTURA METALICA, UMA DEMAO, ESPESSURA DE 25 MICRA.</t>
  </si>
  <si>
    <t>APLICACAO DE TINTA A BASE DE EPOXI SOBRE PISO</t>
  </si>
  <si>
    <t>APLICAÇÃO MANUAL DE PINTURA COM TINTA LÁTEX PVA EM PAREDES, DUAS DEMÃOS. AF_06/2014</t>
  </si>
  <si>
    <t>INSTALAÇÕES HIDRÁULICAS</t>
  </si>
  <si>
    <t>CAIXA D'AGUA FIBRA DE VIDRO PARA 2000 LITROS, COM TAMPA</t>
  </si>
  <si>
    <t>Engate flexível plástico</t>
  </si>
  <si>
    <t>Flange para caixa dágua 25 mm</t>
  </si>
  <si>
    <t>Flange para caixa dágua 50 mm</t>
  </si>
  <si>
    <t>Registro de gaveta c/ canopla cromada (1")</t>
  </si>
  <si>
    <t>Registro de gaveta c/ canopla cromada (1.1/2")</t>
  </si>
  <si>
    <t>Registro de gaveta c/ canopla cromada (1/2")</t>
  </si>
  <si>
    <t>Registro de gaveta c/ canopla cromada (3/4")</t>
  </si>
  <si>
    <t>Registro de pressão c/ canopla cromada (3/4")</t>
  </si>
  <si>
    <t>TORNEIRA CROMADA DE MESA, 1/2" OU 3/4", PARA LAVATÓRIO, PADRÃO POPULAR - FORNECIMENTO E INSTALAÇÃO. AF_12/2013</t>
  </si>
  <si>
    <t>TORNEIRA DE BOIA CONVENCIONAL PARA CAIXA D'AGUA, 3/4", COM HASTE E TORNEIRA METALICOS E BALAO PLASTICO</t>
  </si>
  <si>
    <t>CUBA DE EMBUTIR OVAL EM LOUÇA BRANCA, 35 X 50CM OU EQUIVALENTE, INCLUSO VÁLVULA EM METAL CROMADO E SIFÃO DO TIPO GARRAFA/COPO EM PVC - FORNECIMENTO E INSTALAÇÃO. AF_12/2013</t>
  </si>
  <si>
    <t>Caixa de descarga acoplada com acionamento duo, ref.: CD.21F.17, da Deca ou similar</t>
  </si>
  <si>
    <t>VASO SANITARIO SIFONADO CONVENCIONAL PARA PCD SEM FURO FRONTAL COM LOUÇA BRANCA SEM ASSENTO, INCLUSO CONJUNTO DE LIGAÇÃO PARA BACIA SANITÁRIA AJUSTÁVEL - FORNECIMENTO E INSTALAÇÃO. AF_10/2016</t>
  </si>
  <si>
    <t>DRENAGEM PLUVIAL</t>
  </si>
  <si>
    <t>7.1</t>
  </si>
  <si>
    <t>7.2</t>
  </si>
  <si>
    <t>TUBO PVC, SÉRIE R, ÁGUA PLUVIAL, DN 150 MM, FORNECIDO E INSTALADO EM CONDUTORES VERTICAIS DE ÁGUAS PLUVIAIS. AF_12/2014</t>
  </si>
  <si>
    <t>7.3</t>
  </si>
  <si>
    <t>7.4</t>
  </si>
  <si>
    <t>7.5</t>
  </si>
  <si>
    <t>Canaleta de concreto c/ tampa removível em chapa de aço (0,25 x 0,25 x 0,25m)</t>
  </si>
  <si>
    <t>INSTALAÇÕES ELÉTRICAS 127/220</t>
  </si>
  <si>
    <t>CONDULETE DE ALUMÍNIO, TIPO T, PARA ELETRODUTO DE AÇO GALVANIZADO DN 20 MM (3/4''), APARENTE - FORNECIMENTO E INSTALAÇÃO. AF_11/2016_P</t>
  </si>
  <si>
    <t>CONDULETE DE ALUMÍNIO, TIPO LR, PARA ELETRODUTO DE AÇO GALVANIZADO DN 20 MM (3/4''), APARENTE - FORNECIMENTO E INSTALAÇÃO. AF_11/2016_P</t>
  </si>
  <si>
    <t>CONDULETE DE ALUMÍNIO, TIPO X, PARA ELETRODUTO DE AÇO GALVANIZADO DN 20 MM (3/4''), APARENTE - FORNECIMENTO E INSTALAÇÃO. AF_11/2016_P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</si>
  <si>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</si>
  <si>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</si>
  <si>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16 MM², ANTI-CHAMA 450/750 V, PARA CIRCUITOS TERMINAIS - FORNECIMENTO E INSTALAÇÃO. AF_12/2015</t>
  </si>
  <si>
    <t>CABO DE COBRE FLEXÍVEL ISOLADO, 35 MM², ANTI-CHAMA 450/750 V, PARA DISTRIBUIÇÃO - FORNECIMENTO E INSTALAÇÃO. AF_12/2015</t>
  </si>
  <si>
    <t>Tomada 2p + t, ABNT, de embutir, 10 A, com placa em pvc</t>
  </si>
  <si>
    <t xml:space="preserve">	Tomada 2p+t, ABNT, 10 A, para piso, com placa em metal amarelo e caixa pvc</t>
  </si>
  <si>
    <t xml:space="preserve">	Interruptor 01 seção simples</t>
  </si>
  <si>
    <t>DISJUNTOR TIPO DIN/IEC, MONOPOLAR DE 6 ATE 32A</t>
  </si>
  <si>
    <t>DISJUNTOR TIPO DIN/IEC, BIPOLAR DE 6 ATE 32A</t>
  </si>
  <si>
    <t>DISJUNTOR TERMOMAGNETICO TRIPOLAR 150 A / 600 V, TIPO FXD / ICC - 35 KA</t>
  </si>
  <si>
    <t>DISJUNTOR TERMOMAGNETICO TRIPOLAR 200 A / 600 V, TIPO FXD / ICC - 35 KA</t>
  </si>
  <si>
    <t>DISPOSITIVO DR, 2 POLOS, SENSIBILIDADE DE 30 MA, CORRENTE DE 100 A, TIPO AC</t>
  </si>
  <si>
    <t>Entrada de energia elétrica trifásica demanda entre 0 e 15,2 kw - Rev 01</t>
  </si>
  <si>
    <t>QUADRO DE DISTRIBUICAO DE ENERGIA EM CHAPA DE ACO GALVANIZADO, PARA 12 DISJUNTORES TERMOMAGNETICOS MONOPOLARES, COM BARRAMENTO TRIFASICO E NEUTRO - FORNECIMENTO E INSTALACAO</t>
  </si>
  <si>
    <t>73953/008</t>
  </si>
  <si>
    <t>LUMINÁRIAS TIPO CALHA, DE SOBREPOR, COM REATORES DE PARTIDA RÁPIDA E LÂMPADAS FLUORESCENTES 2X2X36W, COMPLETAS, FORNECIMENTO E INSTALAÇÃO</t>
  </si>
  <si>
    <t>SISTEMA DE PROTEÇÃO CONTRA DESCARGAS ATMOSFÉRICAS (SPDA)</t>
  </si>
  <si>
    <t xml:space="preserve">	Caixa de inspeção 0,30 x 0,30 x 0,40m</t>
  </si>
  <si>
    <t xml:space="preserve">	Tampa de ferro fundido (60x40cm)</t>
  </si>
  <si>
    <t xml:space="preserve">	Conector para haste de aterramento 5/8" - fornecimento</t>
  </si>
  <si>
    <t>CORDOALHA DE COBRE NU 35 MM², NÃO ENTERRADA, COM ISOLADOR - FORNECIMENTO E INSTALAÇÃO. AF_12/2017</t>
  </si>
  <si>
    <t>HASTE DE ATERRAMENTO 5/8 PARA SPDA - FORNECIMENTO E INSTALAÇÃO. AF_12/2017</t>
  </si>
  <si>
    <t>TUBO, PVC, SOLDÁVEL, DN 40MM, INSTALADO EM PRUMADA DE ÁGUA - FORNECIMENTO E INSTALAÇÃO. AF_12/2014</t>
  </si>
  <si>
    <t>TERMINAL METALICO A PRESSAO PARA 1 CABO DE 25 A 35 MM2, COM 2 FUROS PARA 
FIXACAO</t>
  </si>
  <si>
    <t>SERVIÇOS DIVERSOS</t>
  </si>
  <si>
    <t>BARRA DE APOIO RETA, EM ALUMINIO, COMPRIMENTO 80 CM, DIAMETRO MINIMO 3 CM</t>
  </si>
  <si>
    <t>ESPELHO CRISTAL, ESPESSURA 4MM, COM PARAFUSOS DE FIXACAO, SEM MOLDURA</t>
  </si>
  <si>
    <t>PAR DE TABELAS DE BASQUETE EM COMPENSADO NAVAL DE *1,80 X 1,20* M, COM ARO DE METAL E REDE (SEM SUPORTE DE FIXACAO)</t>
  </si>
  <si>
    <t>cj</t>
  </si>
  <si>
    <t>CONJUNTO PARA FUTSAL COM TRAVES OFICIAIS DE 3,00 X 2,00 M EM TUBO DE ACO 
GALVANIZADO 3" COM REQUADRO EM TUBO DE 1", PINTURA EM PRIMER COM TINTA
ESMALTE SINTETICO E REDES DE POLIETILENO FIO 4 MM</t>
  </si>
  <si>
    <t>CONJUNTO PARA QUADRA DE VOLEI COM POSTES EM TUBO DE ACO GALVANIZADO 3", H =*255* CM, PINTURA EM TINTA ESMALTE SINTETICO, REDE DE NYLON COM 2 MM, MALHA 10 X10 CM E ANTENAS OFICIAIS EM FIBRA DE VIDRO</t>
  </si>
  <si>
    <t>SOLEIRA EM GRANITO, LARGURA 15 CM, ESPESSURA 2,0 CM. AF_06/2018</t>
  </si>
  <si>
    <t>Limpeza geral</t>
  </si>
  <si>
    <t>COBOGO DE CONCRETO (ELEMENTO VAZADO), 7X40X40CM, ASSENTADO COM ARGAMASSA TRACO 1:3 (CIMENTO E AREIA)</t>
  </si>
  <si>
    <t>ELEMENTO VAZADO DE CONCRETO, QUADRICULADO, 16 FUROS *40 X 40 X 7* CM</t>
  </si>
  <si>
    <t>ARGAMASSA TRAÇO 1:3 (EM VOLUME DE CIMENTO E AREIA MÉDIA ÚMIDA), PREPARO MANUAL. AF_08/2019</t>
  </si>
  <si>
    <t>VÁLVULA EM METAL CROMADO 1.1/2" X 1.1/2" PARA TANQUE OU LAVATÓRIO, COM OU SEM LADRÃO - FORNECIMENTO E INSTALAÇÃO. AF_12/2013</t>
  </si>
  <si>
    <t>SIFÃO DO TIPO GARRAFA/COPO EM PVC 1.1/4 X 1.1/2" - FORNECIMENTO E INSTALAÇÃO. AF_12/2013</t>
  </si>
  <si>
    <t>CUBA DE EMBUTIR OVAL EM LOUÇA BRANCA, 35 X 50CM OU EQUIVALENTE - FORNECIMENTO E INSTALAÇÃO. AF_12/2013</t>
  </si>
  <si>
    <t>JOELHO 90 GRAUS, PVC, SERIE R, ÁGUA PLUVIAL, DN 150 MM, JUNTA ELÁSTICA, FORNECIDO E INSTALADO EM RAMAL DE ENCAMINHAMENTO. AF_12/2014</t>
  </si>
  <si>
    <t>PASTA LUBRIFICANTE PARA TUBOS E CONEXOES COM JUNTA ELASTICA (USO EM PVC, ACO, POLIETILENO E OUTROS) ( DE *400* G)</t>
  </si>
  <si>
    <t>ANEL BORRACHA, DN 150 MM, PARA TUBO SERIE REFORCADA ESGOTO PREDIAL</t>
  </si>
  <si>
    <t>JOELHO, PVC SERIE R, 90 GRAUS, DN 150 MM, PARA ESGOTO PREDIAL</t>
  </si>
  <si>
    <t>AUXILIAR DE ENCANADOR OU BOMBEIRO HIDRÁULICO COM ENCARGOS COMPLEMENTARES</t>
  </si>
  <si>
    <t>LUMINARIA SOBREPOR TP CALHA C/REATOR PART CONVENC LAMP 1X40W E STARTERFIX EM LAJE OU FORRO - FORNECIMENTO E COLOCACAO</t>
  </si>
  <si>
    <t>LUMINARIA DE SOBREPOR EM CHAPA DE ACO PARA 1 LAMPADA FLUORESCENTE DE *36* W, ALETADA, COMPLETA (LAMPADA E REATOR INCLUSOS)</t>
  </si>
  <si>
    <t>Luminária industrial de embutir, em alumínio, p/ lâmpada mista ou vapor mercúrio, ref.:tb-105/2, Tecnolux ou similar, inclusive lâmpada de luz mista 500 W</t>
  </si>
  <si>
    <t>Luminária industrial de embutir, em alumínio, p/ lâmpada mista ou vapor mercúrio, ref.:tb-105/2, Tecnolux ou similar</t>
  </si>
  <si>
    <t>LAMPADA DE LUZ MISTA 500 W, BASE E40 (220 V)</t>
  </si>
  <si>
    <t>7.1.1</t>
  </si>
  <si>
    <t>7.2.1</t>
  </si>
  <si>
    <t>7.1.2</t>
  </si>
  <si>
    <t>7.3.1</t>
  </si>
  <si>
    <t>7.3.2</t>
  </si>
  <si>
    <t>7.3.3</t>
  </si>
  <si>
    <t>7.3.4</t>
  </si>
  <si>
    <t>7.3.5</t>
  </si>
  <si>
    <t>7.4.1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</si>
  <si>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</si>
  <si>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</si>
  <si>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</si>
  <si>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</si>
  <si>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</si>
  <si>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</si>
  <si>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</si>
  <si>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</si>
  <si>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7.6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</si>
  <si>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</si>
  <si>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</si>
  <si>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</si>
  <si>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</si>
  <si>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</si>
  <si>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</si>
  <si>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</si>
  <si>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</si>
  <si>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</si>
  <si>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</si>
  <si>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</si>
  <si>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7.6.12</t>
  </si>
  <si>
    <t>7.6.13</t>
  </si>
  <si>
    <t>7.6.14</t>
  </si>
  <si>
    <t>7.6.15</t>
  </si>
  <si>
    <t>7.6.16</t>
  </si>
  <si>
    <t>7.7</t>
  </si>
  <si>
    <t>7.7.1</t>
  </si>
  <si>
    <t>7.7.2</t>
  </si>
  <si>
    <t>7.7.3</t>
  </si>
  <si>
    <t>7.7.4</t>
  </si>
  <si>
    <t>7.7.5</t>
  </si>
  <si>
    <t>7.8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</si>
  <si>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</si>
  <si>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</si>
  <si>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</si>
  <si>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</si>
  <si>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</si>
  <si>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</si>
  <si>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</si>
  <si>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</si>
  <si>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</si>
  <si>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7.8.10</t>
  </si>
  <si>
    <t>7.8.11</t>
  </si>
  <si>
    <t>7.8.12</t>
  </si>
  <si>
    <t>7.8.13</t>
  </si>
  <si>
    <t>7.8.14</t>
  </si>
  <si>
    <t>7.8.15</t>
  </si>
  <si>
    <t>7.8.16</t>
  </si>
  <si>
    <t>7.8.17</t>
  </si>
  <si>
    <t>7.8.18</t>
  </si>
  <si>
    <t>7.8.19</t>
  </si>
  <si>
    <t>7.8.20</t>
  </si>
  <si>
    <t>7.8.21</t>
  </si>
  <si>
    <t>7.9</t>
  </si>
  <si>
    <t>7.9.1</t>
  </si>
  <si>
    <t>7.9.2</t>
  </si>
  <si>
    <t>7.10</t>
  </si>
  <si>
    <t>7.10.1</t>
  </si>
  <si>
    <t>7.10.2</t>
  </si>
  <si>
    <t>7.10.3</t>
  </si>
  <si>
    <t>7.10.4</t>
  </si>
  <si>
    <t>7.10.5</t>
  </si>
  <si>
    <t>7.10.6</t>
  </si>
  <si>
    <t>7.10.7</t>
  </si>
  <si>
    <t>7.11</t>
  </si>
  <si>
    <t>7.11.1</t>
  </si>
  <si>
    <t>7.11.2</t>
  </si>
  <si>
    <t>7.11.3</t>
  </si>
  <si>
    <t>7.11.4</t>
  </si>
  <si>
    <t>7.11.5</t>
  </si>
  <si>
    <t>7.11.6</t>
  </si>
  <si>
    <t>7.11.7</t>
  </si>
  <si>
    <t>7.11.8</t>
  </si>
  <si>
    <t>7.11.9</t>
  </si>
  <si>
    <t>7.11.10</t>
  </si>
  <si>
    <t>QUADRA ESPORTIVA (INCLUSIVE VESTIÁRIOS) - CONFORME ORÇAMENTO DE 2013</t>
  </si>
  <si>
    <t>CP</t>
  </si>
  <si>
    <t>Motobomba Piscina Nautilus 5CV - B9NRL-50 Ref: 1132</t>
  </si>
  <si>
    <t>MERCADO</t>
  </si>
  <si>
    <t>Filtro Areia MODELO F1150p Para Piscinas Nautilus</t>
  </si>
  <si>
    <t>Pre Filtro Nautilus PF-3”</t>
  </si>
  <si>
    <t xml:space="preserve">SINAPI - 08/2019 - AL
ORSE - 07/2019 - SE
</t>
  </si>
  <si>
    <t>Traves oficial para futebol de salão 3x2m em aço galv.3", com requadro e redes de polietileno fio 4mm (conjunto p/futsal)</t>
  </si>
  <si>
    <t>Revestimento cerâmico para parede, 10 x 10 cm, Elizabeth, linha lux neve, aplicado com argamassa industrializada ac-ii, rejuntado, exclusive regularização de base ou emboço - Rev 04</t>
  </si>
  <si>
    <t>Revestimento cerâmico para piso ou parede, 50 x 50 cm, antiderrapante (porcelanato), Elizabeth ou similar, aplicado com argamassa industrializada ac-iii, rejuntado, exclusive regularização de base ou emboço</t>
  </si>
  <si>
    <t xml:space="preserve">	Poste decorativo em tubo de aço zincado e pintado, com difusor em vidro leitoso brilhante, com 02 pétalas, da lustres projeto, ref. F-5125 ou similar, inclusive lâmpada PL 45w</t>
  </si>
  <si>
    <t>Porta ou janela em alumínio, cor N/P/B,tipo veneziana, de abrir ou correr, completa inclusive caixilhos, dobradiças ou roldanas e fechadura</t>
  </si>
  <si>
    <t>Janela em alumínio, cor N/P/B, tipo moldura-vidro, max-ar, exclusive vidro</t>
  </si>
  <si>
    <t>Janela em alumínio, cor N/P/B, tipo moldura-vidro, de correr, exclusive vidro</t>
  </si>
  <si>
    <t xml:space="preserve">	Caixa de descarga acoplada, ecologica, linha flam ecoflush BR 3/6 litros, INCEPA ou similar</t>
  </si>
  <si>
    <t>Estrutura Metálica p/ Cobertura c/Vigas-Treliça Pratt UDC150 e terças em UDC 127, 2 águas, sem lanternin, vãos 20,01 a 30,0m, pintado 1 d oxido ferro + 2 d esmalte epóxi branco, exceto forn. Telhas - Executada</t>
  </si>
  <si>
    <t>4.9.2</t>
  </si>
  <si>
    <t>BDI</t>
  </si>
  <si>
    <t>OBRA</t>
  </si>
  <si>
    <t>Cronograma Físico e Financeiro</t>
  </si>
  <si>
    <t>Peso</t>
  </si>
  <si>
    <t>Total Por Etapa</t>
  </si>
  <si>
    <t>Porcentagem</t>
  </si>
  <si>
    <t>Custo</t>
  </si>
  <si>
    <t>Porcentagem Acumulado</t>
  </si>
  <si>
    <t>Custo Acumulado</t>
  </si>
  <si>
    <t xml:space="preserve">            
(12º MÊS)</t>
  </si>
  <si>
    <t xml:space="preserve">          
(11º MÊS)</t>
  </si>
  <si>
    <t xml:space="preserve">           
(10º MÊS)</t>
  </si>
  <si>
    <t xml:space="preserve">            
(9º MÊS)</t>
  </si>
  <si>
    <t xml:space="preserve">        
(8º MÊS)</t>
  </si>
  <si>
    <t xml:space="preserve">    
(7º MÊS)</t>
  </si>
  <si>
    <t xml:space="preserve">        
(6º MÊS)</t>
  </si>
  <si>
    <t xml:space="preserve">          
(5º MÊS)</t>
  </si>
  <si>
    <t xml:space="preserve">        
(4º MÊS)</t>
  </si>
  <si>
    <t xml:space="preserve">          
(3º MÊS)</t>
  </si>
  <si>
    <t xml:space="preserve">         
(2º MÊS)</t>
  </si>
  <si>
    <t xml:space="preserve">       
(1º MÊS)</t>
  </si>
  <si>
    <t>CONSTRUÇÃO DO COMPLEXO ESCPORTIVO DE LAGOA DA CANOA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</si>
</sst>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#,##0.00#####"/>
    <numFmt numFmtId="165" formatCode="\R\$\ #,##0.00"/>
    <numFmt numFmtId="166" formatCode="0.0000"/>
  </numFmts>
  <fonts count="24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8"/>
      <color rgb="FF000000"/>
      <name val="Verdana"/>
      <family val="2"/>
    </font>
    <font>
      <sz val="1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1"/>
    </font>
    <font>
      <b/>
      <sz val="14"/>
      <name val="Arial"/>
      <family val="2"/>
    </font>
    <font>
      <b/>
      <sz val="11"/>
      <name val="Arial"/>
      <family val="1"/>
    </font>
    <font>
      <b/>
      <sz val="8"/>
      <name val="Arial"/>
      <family val="1"/>
    </font>
    <font>
      <sz val="8"/>
      <name val="Arial"/>
      <family val="1"/>
    </font>
    <font>
      <b/>
      <sz val="8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D8ECF6"/>
        <bgColor rgb="FF000000"/>
      </patternFill>
    </fill>
    <fill>
      <patternFill patternType="solid">
        <fgColor rgb="FFD8EC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EC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3" tint="0.39997558519241921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000000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CCCCCC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0"/>
  </cellStyleXfs>
  <cellXfs count="514">
    <xf numFmtId="0" fontId="0" fillId="0" borderId="0" xfId="0"/>
    <xf numFmtId="0" fontId="2" fillId="0" borderId="0" xfId="0" applyFont="1"/>
    <xf numFmtId="0" fontId="3" fillId="6" borderId="0" xfId="0" applyFont="1" applyFill="1" applyAlignment="1">
      <alignment horizontal="right" vertical="top" wrapText="1"/>
    </xf>
    <xf numFmtId="0" fontId="6" fillId="0" borderId="0" xfId="0" applyFont="1"/>
    <xf numFmtId="0" fontId="3" fillId="6" borderId="0" xfId="0" applyFont="1" applyFill="1" applyAlignment="1">
      <alignment horizontal="right" vertical="top" wrapText="1"/>
    </xf>
    <xf numFmtId="0" fontId="8" fillId="11" borderId="4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vertical="top" wrapText="1"/>
    </xf>
    <xf numFmtId="0" fontId="1" fillId="7" borderId="8" xfId="0" applyFont="1" applyFill="1" applyBorder="1" applyAlignment="1">
      <alignment vertical="top" wrapText="1"/>
    </xf>
    <xf numFmtId="0" fontId="1" fillId="7" borderId="9" xfId="0" applyFont="1" applyFill="1" applyBorder="1" applyAlignment="1">
      <alignment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1" fillId="3" borderId="3" xfId="0" applyNumberFormat="1" applyFont="1" applyFill="1" applyBorder="1" applyAlignment="1">
      <alignment horizontal="right" vertical="top" wrapText="1"/>
    </xf>
    <xf numFmtId="164" fontId="1" fillId="2" borderId="2" xfId="0" applyNumberFormat="1" applyFont="1" applyFill="1" applyBorder="1" applyAlignment="1">
      <alignment horizontal="right" vertical="top" wrapText="1"/>
    </xf>
    <xf numFmtId="164" fontId="1" fillId="2" borderId="3" xfId="0" applyNumberFormat="1" applyFont="1" applyFill="1" applyBorder="1" applyAlignment="1">
      <alignment horizontal="right" vertical="top" wrapText="1"/>
    </xf>
    <xf numFmtId="0" fontId="6" fillId="0" borderId="0" xfId="0" applyFont="1" applyFill="1"/>
    <xf numFmtId="0" fontId="3" fillId="6" borderId="0" xfId="0" applyFont="1" applyFill="1" applyAlignment="1">
      <alignment horizontal="right" vertical="top" wrapText="1"/>
    </xf>
    <xf numFmtId="0" fontId="2" fillId="10" borderId="11" xfId="0" applyFont="1" applyFill="1" applyBorder="1" applyAlignment="1">
      <alignment horizontal="center" vertical="top" wrapText="1"/>
    </xf>
    <xf numFmtId="0" fontId="2" fillId="15" borderId="13" xfId="0" applyFont="1" applyFill="1" applyBorder="1" applyAlignment="1">
      <alignment vertical="top" wrapText="1"/>
    </xf>
    <xf numFmtId="0" fontId="2" fillId="15" borderId="13" xfId="0" applyFont="1" applyFill="1" applyBorder="1" applyAlignment="1">
      <alignment horizontal="right" vertical="top" wrapText="1"/>
    </xf>
    <xf numFmtId="0" fontId="1" fillId="7" borderId="21" xfId="0" applyFont="1" applyFill="1" applyBorder="1" applyAlignment="1">
      <alignment vertical="top" wrapText="1"/>
    </xf>
    <xf numFmtId="164" fontId="1" fillId="2" borderId="21" xfId="0" applyNumberFormat="1" applyFont="1" applyFill="1" applyBorder="1" applyAlignment="1">
      <alignment horizontal="right" vertical="top" wrapText="1"/>
    </xf>
    <xf numFmtId="0" fontId="4" fillId="16" borderId="21" xfId="0" applyFont="1" applyFill="1" applyBorder="1" applyAlignment="1">
      <alignment vertical="top" wrapText="1"/>
    </xf>
    <xf numFmtId="0" fontId="4" fillId="16" borderId="21" xfId="0" applyFont="1" applyFill="1" applyBorder="1" applyAlignment="1">
      <alignment horizontal="center" vertical="top" wrapText="1"/>
    </xf>
    <xf numFmtId="164" fontId="4" fillId="16" borderId="21" xfId="0" applyNumberFormat="1" applyFont="1" applyFill="1" applyBorder="1" applyAlignment="1">
      <alignment horizontal="right" vertical="top" wrapText="1"/>
    </xf>
    <xf numFmtId="4" fontId="4" fillId="16" borderId="0" xfId="0" applyNumberFormat="1" applyFont="1" applyFill="1" applyBorder="1" applyAlignment="1">
      <alignment horizontal="right" vertical="top" wrapText="1"/>
    </xf>
    <xf numFmtId="4" fontId="4" fillId="16" borderId="5" xfId="0" applyNumberFormat="1" applyFont="1" applyFill="1" applyBorder="1" applyAlignment="1">
      <alignment horizontal="right" vertical="top" wrapText="1"/>
    </xf>
    <xf numFmtId="4" fontId="4" fillId="16" borderId="21" xfId="0" applyNumberFormat="1" applyFont="1" applyFill="1" applyBorder="1" applyAlignment="1">
      <alignment horizontal="right" vertical="top" wrapText="1"/>
    </xf>
    <xf numFmtId="4" fontId="4" fillId="16" borderId="7" xfId="0" applyNumberFormat="1" applyFont="1" applyFill="1" applyBorder="1" applyAlignment="1">
      <alignment horizontal="right" vertical="top" wrapText="1"/>
    </xf>
    <xf numFmtId="0" fontId="2" fillId="15" borderId="14" xfId="0" applyFont="1" applyFill="1" applyBorder="1" applyAlignment="1">
      <alignment vertical="top" wrapText="1"/>
    </xf>
    <xf numFmtId="0" fontId="4" fillId="16" borderId="21" xfId="0" applyFont="1" applyFill="1" applyBorder="1" applyAlignment="1">
      <alignment horizontal="left" vertical="top" wrapText="1"/>
    </xf>
    <xf numFmtId="0" fontId="2" fillId="10" borderId="10" xfId="0" applyFont="1" applyFill="1" applyBorder="1" applyAlignment="1">
      <alignment vertical="top" wrapText="1"/>
    </xf>
    <xf numFmtId="0" fontId="2" fillId="10" borderId="11" xfId="0" applyFont="1" applyFill="1" applyBorder="1" applyAlignment="1">
      <alignment vertical="top" wrapText="1"/>
    </xf>
    <xf numFmtId="0" fontId="2" fillId="10" borderId="12" xfId="0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horizontal="right" vertical="top" wrapText="1"/>
    </xf>
    <xf numFmtId="0" fontId="4" fillId="16" borderId="22" xfId="0" applyFont="1" applyFill="1" applyBorder="1" applyAlignment="1">
      <alignment horizontal="center" vertical="top" wrapText="1"/>
    </xf>
    <xf numFmtId="0" fontId="4" fillId="16" borderId="22" xfId="0" applyFont="1" applyFill="1" applyBorder="1" applyAlignment="1">
      <alignment vertical="top" wrapText="1"/>
    </xf>
    <xf numFmtId="0" fontId="1" fillId="12" borderId="21" xfId="0" applyFont="1" applyFill="1" applyBorder="1" applyAlignment="1">
      <alignment vertical="top" wrapText="1"/>
    </xf>
    <xf numFmtId="44" fontId="4" fillId="0" borderId="21" xfId="1" applyFont="1" applyFill="1" applyBorder="1" applyAlignment="1">
      <alignment horizontal="right" vertical="top" wrapText="1"/>
    </xf>
    <xf numFmtId="44" fontId="4" fillId="0" borderId="21" xfId="1" applyNumberFormat="1" applyFont="1" applyFill="1" applyBorder="1" applyAlignment="1">
      <alignment horizontal="right" vertical="top" wrapText="1"/>
    </xf>
    <xf numFmtId="0" fontId="1" fillId="12" borderId="21" xfId="0" applyFont="1" applyFill="1" applyBorder="1" applyAlignment="1">
      <alignment horizontal="left" vertical="top" wrapText="1"/>
    </xf>
    <xf numFmtId="2" fontId="4" fillId="17" borderId="21" xfId="0" applyNumberFormat="1" applyFont="1" applyFill="1" applyBorder="1" applyAlignment="1">
      <alignment horizontal="right" vertical="top" wrapText="1"/>
    </xf>
    <xf numFmtId="44" fontId="4" fillId="17" borderId="21" xfId="1" applyFont="1" applyFill="1" applyBorder="1" applyAlignment="1">
      <alignment horizontal="right" vertical="top" wrapText="1"/>
    </xf>
    <xf numFmtId="44" fontId="4" fillId="17" borderId="21" xfId="1" applyNumberFormat="1" applyFont="1" applyFill="1" applyBorder="1" applyAlignment="1">
      <alignment horizontal="right" vertical="top" wrapText="1"/>
    </xf>
    <xf numFmtId="4" fontId="4" fillId="17" borderId="21" xfId="0" applyNumberFormat="1" applyFont="1" applyFill="1" applyBorder="1" applyAlignment="1">
      <alignment horizontal="right" vertical="top" wrapText="1"/>
    </xf>
    <xf numFmtId="0" fontId="6" fillId="16" borderId="21" xfId="0" applyFont="1" applyFill="1" applyBorder="1" applyAlignment="1">
      <alignment vertical="top" wrapText="1"/>
    </xf>
    <xf numFmtId="0" fontId="6" fillId="16" borderId="22" xfId="0" applyFont="1" applyFill="1" applyBorder="1" applyAlignment="1">
      <alignment vertical="top" wrapText="1"/>
    </xf>
    <xf numFmtId="0" fontId="3" fillId="12" borderId="21" xfId="0" applyFont="1" applyFill="1" applyBorder="1" applyAlignment="1">
      <alignment vertical="top" wrapText="1"/>
    </xf>
    <xf numFmtId="44" fontId="4" fillId="0" borderId="21" xfId="0" applyNumberFormat="1" applyFont="1" applyFill="1" applyBorder="1" applyAlignment="1">
      <alignment horizontal="right" vertical="top" wrapText="1"/>
    </xf>
    <xf numFmtId="0" fontId="6" fillId="0" borderId="21" xfId="0" applyFont="1" applyFill="1" applyBorder="1" applyAlignment="1">
      <alignment vertical="top" wrapText="1"/>
    </xf>
    <xf numFmtId="0" fontId="2" fillId="10" borderId="11" xfId="0" applyFont="1" applyFill="1" applyBorder="1" applyAlignment="1">
      <alignment horizontal="left" vertical="top" wrapText="1"/>
    </xf>
    <xf numFmtId="0" fontId="2" fillId="13" borderId="1" xfId="0" applyFont="1" applyFill="1" applyBorder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21" xfId="0" applyFont="1" applyFill="1" applyBorder="1" applyAlignment="1">
      <alignment vertical="top" wrapText="1"/>
    </xf>
    <xf numFmtId="0" fontId="5" fillId="9" borderId="0" xfId="0" applyFont="1" applyFill="1" applyBorder="1" applyAlignment="1">
      <alignment horizontal="center" vertical="top" wrapText="1"/>
    </xf>
    <xf numFmtId="0" fontId="5" fillId="9" borderId="17" xfId="0" applyFont="1" applyFill="1" applyBorder="1" applyAlignment="1">
      <alignment horizontal="center" vertical="top" wrapText="1"/>
    </xf>
    <xf numFmtId="0" fontId="1" fillId="12" borderId="21" xfId="0" applyFont="1" applyFill="1" applyBorder="1" applyAlignment="1">
      <alignment horizontal="center" vertical="top" wrapText="1"/>
    </xf>
    <xf numFmtId="0" fontId="3" fillId="6" borderId="0" xfId="0" applyFont="1" applyFill="1" applyAlignment="1">
      <alignment horizontal="center" vertical="top" wrapText="1"/>
    </xf>
    <xf numFmtId="0" fontId="3" fillId="6" borderId="0" xfId="0" applyFont="1" applyFill="1" applyAlignment="1">
      <alignment horizontal="center" vertical="top"/>
    </xf>
    <xf numFmtId="0" fontId="0" fillId="0" borderId="0" xfId="0" applyAlignment="1">
      <alignment horizontal="center"/>
    </xf>
    <xf numFmtId="4" fontId="4" fillId="0" borderId="4" xfId="0" applyNumberFormat="1" applyFont="1" applyFill="1" applyBorder="1" applyAlignment="1">
      <alignment horizontal="right" vertical="top" wrapText="1"/>
    </xf>
    <xf numFmtId="0" fontId="2" fillId="13" borderId="0" xfId="0" applyFont="1" applyFill="1" applyBorder="1" applyAlignment="1">
      <alignment horizontal="center" vertical="top" wrapText="1"/>
    </xf>
    <xf numFmtId="0" fontId="2" fillId="13" borderId="0" xfId="0" applyFont="1" applyFill="1" applyBorder="1" applyAlignment="1">
      <alignment horizontal="right" vertical="top" wrapText="1"/>
    </xf>
    <xf numFmtId="164" fontId="1" fillId="12" borderId="21" xfId="0" applyNumberFormat="1" applyFont="1" applyFill="1" applyBorder="1" applyAlignment="1">
      <alignment horizontal="right" vertical="top" wrapText="1"/>
    </xf>
    <xf numFmtId="4" fontId="1" fillId="12" borderId="2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0" fillId="0" borderId="0" xfId="0" applyFill="1" applyBorder="1"/>
    <xf numFmtId="0" fontId="2" fillId="0" borderId="0" xfId="0" applyFont="1" applyFill="1" applyBorder="1"/>
    <xf numFmtId="0" fontId="2" fillId="13" borderId="25" xfId="0" applyFont="1" applyFill="1" applyBorder="1" applyAlignment="1">
      <alignment horizontal="right" vertical="top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166" fontId="4" fillId="0" borderId="21" xfId="0" applyNumberFormat="1" applyFont="1" applyFill="1" applyBorder="1" applyAlignment="1">
      <alignment horizontal="right" vertical="top" wrapText="1"/>
    </xf>
    <xf numFmtId="166" fontId="1" fillId="12" borderId="21" xfId="0" applyNumberFormat="1" applyFont="1" applyFill="1" applyBorder="1" applyAlignment="1">
      <alignment horizontal="right" vertical="top" wrapText="1"/>
    </xf>
    <xf numFmtId="0" fontId="6" fillId="0" borderId="0" xfId="0" applyNumberFormat="1" applyFont="1"/>
    <xf numFmtId="0" fontId="6" fillId="0" borderId="0" xfId="0" applyFont="1" applyFill="1" applyBorder="1"/>
    <xf numFmtId="44" fontId="4" fillId="0" borderId="21" xfId="0" applyNumberFormat="1" applyFont="1" applyBorder="1" applyAlignment="1">
      <alignment horizontal="right" vertical="top" wrapText="1"/>
    </xf>
    <xf numFmtId="0" fontId="2" fillId="13" borderId="13" xfId="0" applyFont="1" applyFill="1" applyBorder="1" applyAlignment="1">
      <alignment horizontal="center" vertical="top" wrapText="1"/>
    </xf>
    <xf numFmtId="0" fontId="2" fillId="13" borderId="13" xfId="0" applyFont="1" applyFill="1" applyBorder="1" applyAlignment="1">
      <alignment horizontal="right" vertical="top" wrapText="1"/>
    </xf>
    <xf numFmtId="0" fontId="2" fillId="13" borderId="15" xfId="0" applyFont="1" applyFill="1" applyBorder="1" applyAlignment="1">
      <alignment horizontal="right" vertical="top" wrapText="1"/>
    </xf>
    <xf numFmtId="0" fontId="1" fillId="12" borderId="26" xfId="0" applyFont="1" applyFill="1" applyBorder="1" applyAlignment="1">
      <alignment vertical="top" wrapText="1"/>
    </xf>
    <xf numFmtId="44" fontId="1" fillId="12" borderId="27" xfId="1" applyFont="1" applyFill="1" applyBorder="1" applyAlignment="1">
      <alignment horizontal="right" vertical="top" wrapText="1"/>
    </xf>
    <xf numFmtId="0" fontId="4" fillId="16" borderId="26" xfId="0" applyFont="1" applyFill="1" applyBorder="1" applyAlignment="1">
      <alignment vertical="top" wrapText="1"/>
    </xf>
    <xf numFmtId="44" fontId="4" fillId="0" borderId="27" xfId="1" applyFont="1" applyFill="1" applyBorder="1" applyAlignment="1">
      <alignment horizontal="right" vertical="top" wrapText="1"/>
    </xf>
    <xf numFmtId="0" fontId="4" fillId="16" borderId="28" xfId="0" applyFont="1" applyFill="1" applyBorder="1" applyAlignment="1">
      <alignment vertical="top" wrapText="1"/>
    </xf>
    <xf numFmtId="44" fontId="1" fillId="17" borderId="27" xfId="1" applyFont="1" applyFill="1" applyBorder="1" applyAlignment="1">
      <alignment horizontal="right" vertical="top" wrapText="1"/>
    </xf>
    <xf numFmtId="0" fontId="1" fillId="12" borderId="26" xfId="0" applyFont="1" applyFill="1" applyBorder="1" applyAlignment="1">
      <alignment horizontal="left" vertical="top" wrapText="1"/>
    </xf>
    <xf numFmtId="44" fontId="1" fillId="17" borderId="27" xfId="1" applyNumberFormat="1" applyFont="1" applyFill="1" applyBorder="1" applyAlignment="1">
      <alignment horizontal="right" vertical="top" wrapText="1"/>
    </xf>
    <xf numFmtId="0" fontId="4" fillId="16" borderId="26" xfId="0" applyFont="1" applyFill="1" applyBorder="1" applyAlignment="1">
      <alignment horizontal="left" vertical="top" wrapText="1"/>
    </xf>
    <xf numFmtId="0" fontId="2" fillId="15" borderId="29" xfId="0" applyFont="1" applyFill="1" applyBorder="1" applyAlignment="1">
      <alignment horizontal="right" vertical="top" wrapText="1"/>
    </xf>
    <xf numFmtId="0" fontId="2" fillId="15" borderId="30" xfId="0" applyFont="1" applyFill="1" applyBorder="1" applyAlignment="1">
      <alignment horizontal="right" vertical="top" wrapText="1"/>
    </xf>
    <xf numFmtId="44" fontId="2" fillId="15" borderId="31" xfId="0" applyNumberFormat="1" applyFont="1" applyFill="1" applyBorder="1" applyAlignment="1">
      <alignment horizontal="right" vertical="top" wrapText="1"/>
    </xf>
    <xf numFmtId="0" fontId="1" fillId="7" borderId="26" xfId="0" applyFont="1" applyFill="1" applyBorder="1" applyAlignment="1">
      <alignment vertical="top" wrapText="1"/>
    </xf>
    <xf numFmtId="0" fontId="8" fillId="11" borderId="20" xfId="0" applyFont="1" applyFill="1" applyBorder="1" applyAlignment="1">
      <alignment horizontal="center" vertical="center"/>
    </xf>
    <xf numFmtId="4" fontId="4" fillId="16" borderId="20" xfId="0" applyNumberFormat="1" applyFont="1" applyFill="1" applyBorder="1" applyAlignment="1">
      <alignment horizontal="right" vertical="top" wrapText="1"/>
    </xf>
    <xf numFmtId="4" fontId="4" fillId="16" borderId="35" xfId="0" applyNumberFormat="1" applyFont="1" applyFill="1" applyBorder="1" applyAlignment="1">
      <alignment horizontal="right" vertical="top" wrapText="1"/>
    </xf>
    <xf numFmtId="0" fontId="1" fillId="7" borderId="26" xfId="0" applyFont="1" applyFill="1" applyBorder="1" applyAlignment="1">
      <alignment horizontal="left" vertical="top" wrapText="1"/>
    </xf>
    <xf numFmtId="0" fontId="1" fillId="7" borderId="32" xfId="0" applyFont="1" applyFill="1" applyBorder="1" applyAlignment="1">
      <alignment vertical="top" wrapText="1"/>
    </xf>
    <xf numFmtId="164" fontId="1" fillId="2" borderId="36" xfId="0" applyNumberFormat="1" applyFont="1" applyFill="1" applyBorder="1" applyAlignment="1">
      <alignment horizontal="right" vertical="top" wrapText="1"/>
    </xf>
    <xf numFmtId="4" fontId="1" fillId="3" borderId="36" xfId="0" applyNumberFormat="1" applyFont="1" applyFill="1" applyBorder="1" applyAlignment="1">
      <alignment horizontal="right" vertical="top" wrapText="1"/>
    </xf>
    <xf numFmtId="10" fontId="5" fillId="9" borderId="17" xfId="0" applyNumberFormat="1" applyFont="1" applyFill="1" applyBorder="1" applyAlignment="1">
      <alignment horizontal="left" vertical="top" wrapText="1"/>
    </xf>
    <xf numFmtId="0" fontId="2" fillId="13" borderId="37" xfId="0" applyFont="1" applyFill="1" applyBorder="1" applyAlignment="1">
      <alignment vertical="top" wrapText="1"/>
    </xf>
    <xf numFmtId="0" fontId="2" fillId="13" borderId="38" xfId="0" applyFont="1" applyFill="1" applyBorder="1" applyAlignment="1">
      <alignment horizontal="right" vertical="top" wrapText="1"/>
    </xf>
    <xf numFmtId="4" fontId="1" fillId="12" borderId="27" xfId="0" applyNumberFormat="1" applyFont="1" applyFill="1" applyBorder="1" applyAlignment="1">
      <alignment horizontal="right" vertical="top" wrapText="1"/>
    </xf>
    <xf numFmtId="44" fontId="4" fillId="0" borderId="27" xfId="1" applyNumberFormat="1" applyFont="1" applyFill="1" applyBorder="1" applyAlignment="1">
      <alignment horizontal="right" vertical="top" wrapText="1"/>
    </xf>
    <xf numFmtId="0" fontId="5" fillId="9" borderId="17" xfId="0" applyFont="1" applyFill="1" applyBorder="1" applyAlignment="1">
      <alignment vertical="top" wrapText="1"/>
    </xf>
    <xf numFmtId="10" fontId="5" fillId="9" borderId="0" xfId="2" applyNumberFormat="1" applyFont="1" applyFill="1" applyBorder="1" applyAlignment="1">
      <alignment horizontal="left" vertical="top" wrapText="1"/>
    </xf>
    <xf numFmtId="0" fontId="5" fillId="9" borderId="0" xfId="0" applyFont="1" applyFill="1" applyBorder="1" applyAlignment="1">
      <alignment vertical="top" wrapText="1"/>
    </xf>
    <xf numFmtId="0" fontId="5" fillId="9" borderId="20" xfId="0" applyFont="1" applyFill="1" applyBorder="1" applyAlignment="1">
      <alignment vertical="top" wrapText="1"/>
    </xf>
    <xf numFmtId="0" fontId="5" fillId="9" borderId="18" xfId="0" applyFont="1" applyFill="1" applyBorder="1" applyAlignment="1">
      <alignment vertical="top" wrapText="1"/>
    </xf>
    <xf numFmtId="0" fontId="2" fillId="5" borderId="13" xfId="0" applyFont="1" applyFill="1" applyBorder="1" applyAlignment="1">
      <alignment horizontal="left" vertical="top" wrapText="1"/>
    </xf>
    <xf numFmtId="0" fontId="5" fillId="9" borderId="0" xfId="0" applyFont="1" applyFill="1" applyBorder="1" applyAlignment="1">
      <alignment horizontal="left" vertical="top" wrapText="1"/>
    </xf>
    <xf numFmtId="4" fontId="4" fillId="12" borderId="21" xfId="0" applyNumberFormat="1" applyFont="1" applyFill="1" applyBorder="1" applyAlignment="1">
      <alignment horizontal="right" vertical="top" wrapText="1"/>
    </xf>
    <xf numFmtId="0" fontId="1" fillId="7" borderId="21" xfId="0" applyFont="1" applyFill="1" applyBorder="1" applyAlignment="1">
      <alignment horizontal="left" vertical="top" wrapText="1"/>
    </xf>
    <xf numFmtId="44" fontId="4" fillId="16" borderId="21" xfId="1" applyFont="1" applyFill="1" applyBorder="1" applyAlignment="1">
      <alignment horizontal="right" vertical="top" wrapText="1"/>
    </xf>
    <xf numFmtId="0" fontId="2" fillId="15" borderId="13" xfId="0" applyFont="1" applyFill="1" applyBorder="1" applyAlignment="1">
      <alignment horizontal="left" vertical="top" wrapText="1"/>
    </xf>
    <xf numFmtId="4" fontId="4" fillId="12" borderId="27" xfId="0" applyNumberFormat="1" applyFont="1" applyFill="1" applyBorder="1" applyAlignment="1">
      <alignment horizontal="right" vertical="top" wrapText="1"/>
    </xf>
    <xf numFmtId="44" fontId="4" fillId="16" borderId="27" xfId="1" applyFont="1" applyFill="1" applyBorder="1" applyAlignment="1">
      <alignment horizontal="right" vertical="top" wrapText="1"/>
    </xf>
    <xf numFmtId="0" fontId="2" fillId="13" borderId="14" xfId="0" applyFont="1" applyFill="1" applyBorder="1" applyAlignment="1">
      <alignment vertical="top" wrapText="1"/>
    </xf>
    <xf numFmtId="0" fontId="2" fillId="13" borderId="13" xfId="0" applyFont="1" applyFill="1" applyBorder="1" applyAlignment="1">
      <alignment horizontal="left" vertical="top" wrapText="1"/>
    </xf>
    <xf numFmtId="0" fontId="2" fillId="13" borderId="13" xfId="0" applyFont="1" applyFill="1" applyBorder="1" applyAlignment="1">
      <alignment vertical="top" wrapText="1"/>
    </xf>
    <xf numFmtId="0" fontId="12" fillId="19" borderId="21" xfId="0" applyFont="1" applyFill="1" applyBorder="1" applyAlignment="1">
      <alignment vertical="top" wrapText="1"/>
    </xf>
    <xf numFmtId="0" fontId="12" fillId="19" borderId="21" xfId="0" applyFont="1" applyFill="1" applyBorder="1" applyAlignment="1">
      <alignment horizontal="left" vertical="top" wrapText="1"/>
    </xf>
    <xf numFmtId="0" fontId="12" fillId="19" borderId="21" xfId="0" applyFont="1" applyFill="1" applyBorder="1" applyAlignment="1">
      <alignment horizontal="center" vertical="top" wrapText="1"/>
    </xf>
    <xf numFmtId="0" fontId="12" fillId="19" borderId="21" xfId="0" applyFont="1" applyFill="1" applyBorder="1" applyAlignment="1">
      <alignment horizontal="right" vertical="top" wrapText="1"/>
    </xf>
    <xf numFmtId="0" fontId="12" fillId="0" borderId="0" xfId="0" applyFont="1"/>
    <xf numFmtId="0" fontId="13" fillId="19" borderId="34" xfId="0" applyFont="1" applyFill="1" applyBorder="1" applyAlignment="1">
      <alignment horizontal="left" vertical="top" wrapText="1"/>
    </xf>
    <xf numFmtId="0" fontId="13" fillId="19" borderId="24" xfId="0" applyFont="1" applyFill="1" applyBorder="1" applyAlignment="1">
      <alignment horizontal="left" vertical="top" wrapText="1"/>
    </xf>
    <xf numFmtId="4" fontId="13" fillId="19" borderId="5" xfId="0" applyNumberFormat="1" applyFont="1" applyFill="1" applyBorder="1" applyAlignment="1">
      <alignment horizontal="right" vertical="top" wrapText="1"/>
    </xf>
    <xf numFmtId="4" fontId="13" fillId="19" borderId="4" xfId="0" applyNumberFormat="1" applyFont="1" applyFill="1" applyBorder="1" applyAlignment="1">
      <alignment horizontal="right" vertical="top" wrapText="1"/>
    </xf>
    <xf numFmtId="4" fontId="13" fillId="19" borderId="0" xfId="0" applyNumberFormat="1" applyFont="1" applyFill="1" applyBorder="1" applyAlignment="1">
      <alignment horizontal="right" vertical="top" wrapText="1"/>
    </xf>
    <xf numFmtId="4" fontId="13" fillId="19" borderId="20" xfId="0" applyNumberFormat="1" applyFont="1" applyFill="1" applyBorder="1" applyAlignment="1">
      <alignment horizontal="right" vertical="top" wrapText="1"/>
    </xf>
    <xf numFmtId="0" fontId="13" fillId="0" borderId="0" xfId="0" applyFont="1" applyFill="1"/>
    <xf numFmtId="0" fontId="13" fillId="20" borderId="34" xfId="0" applyFont="1" applyFill="1" applyBorder="1" applyAlignment="1">
      <alignment horizontal="left" vertical="top" wrapText="1"/>
    </xf>
    <xf numFmtId="0" fontId="13" fillId="20" borderId="24" xfId="0" applyFont="1" applyFill="1" applyBorder="1" applyAlignment="1">
      <alignment horizontal="left" vertical="top" wrapText="1"/>
    </xf>
    <xf numFmtId="4" fontId="13" fillId="20" borderId="5" xfId="0" applyNumberFormat="1" applyFont="1" applyFill="1" applyBorder="1" applyAlignment="1">
      <alignment horizontal="right" vertical="top" wrapText="1"/>
    </xf>
    <xf numFmtId="4" fontId="13" fillId="20" borderId="4" xfId="0" applyNumberFormat="1" applyFont="1" applyFill="1" applyBorder="1" applyAlignment="1">
      <alignment horizontal="right" vertical="top" wrapText="1"/>
    </xf>
    <xf numFmtId="4" fontId="13" fillId="20" borderId="0" xfId="0" applyNumberFormat="1" applyFont="1" applyFill="1" applyBorder="1" applyAlignment="1">
      <alignment horizontal="right" vertical="top" wrapText="1"/>
    </xf>
    <xf numFmtId="4" fontId="13" fillId="20" borderId="20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1" fillId="16" borderId="24" xfId="0" applyFont="1" applyFill="1" applyBorder="1" applyAlignment="1">
      <alignment horizontal="left" vertical="top" wrapText="1"/>
    </xf>
    <xf numFmtId="0" fontId="13" fillId="0" borderId="0" xfId="0" applyFont="1"/>
    <xf numFmtId="0" fontId="13" fillId="19" borderId="26" xfId="0" applyFont="1" applyFill="1" applyBorder="1" applyAlignment="1">
      <alignment vertical="top" wrapText="1"/>
    </xf>
    <xf numFmtId="0" fontId="13" fillId="19" borderId="21" xfId="0" applyFont="1" applyFill="1" applyBorder="1" applyAlignment="1">
      <alignment horizontal="left" vertical="top" wrapText="1"/>
    </xf>
    <xf numFmtId="0" fontId="13" fillId="19" borderId="21" xfId="0" applyFont="1" applyFill="1" applyBorder="1" applyAlignment="1">
      <alignment vertical="top" wrapText="1"/>
    </xf>
    <xf numFmtId="164" fontId="13" fillId="19" borderId="21" xfId="0" applyNumberFormat="1" applyFont="1" applyFill="1" applyBorder="1" applyAlignment="1">
      <alignment horizontal="right" vertical="top" wrapText="1"/>
    </xf>
    <xf numFmtId="0" fontId="1" fillId="16" borderId="34" xfId="0" applyFont="1" applyFill="1" applyBorder="1" applyAlignment="1">
      <alignment vertical="top" wrapText="1"/>
    </xf>
    <xf numFmtId="0" fontId="1" fillId="16" borderId="24" xfId="0" applyFont="1" applyFill="1" applyBorder="1" applyAlignment="1">
      <alignment vertical="top" wrapText="1"/>
    </xf>
    <xf numFmtId="164" fontId="1" fillId="16" borderId="24" xfId="0" applyNumberFormat="1" applyFont="1" applyFill="1" applyBorder="1" applyAlignment="1">
      <alignment horizontal="right" vertical="top" wrapText="1"/>
    </xf>
    <xf numFmtId="0" fontId="13" fillId="20" borderId="21" xfId="0" applyFont="1" applyFill="1" applyBorder="1"/>
    <xf numFmtId="164" fontId="4" fillId="16" borderId="22" xfId="0" applyNumberFormat="1" applyFont="1" applyFill="1" applyBorder="1" applyAlignment="1">
      <alignment horizontal="right" vertical="top" wrapText="1"/>
    </xf>
    <xf numFmtId="0" fontId="1" fillId="7" borderId="34" xfId="0" applyFont="1" applyFill="1" applyBorder="1" applyAlignment="1">
      <alignment vertical="top" wrapText="1"/>
    </xf>
    <xf numFmtId="0" fontId="1" fillId="7" borderId="24" xfId="0" applyFont="1" applyFill="1" applyBorder="1" applyAlignment="1">
      <alignment horizontal="left" vertical="top" wrapText="1"/>
    </xf>
    <xf numFmtId="0" fontId="1" fillId="7" borderId="24" xfId="0" applyFont="1" applyFill="1" applyBorder="1" applyAlignment="1">
      <alignment vertical="top" wrapText="1"/>
    </xf>
    <xf numFmtId="164" fontId="1" fillId="2" borderId="24" xfId="0" applyNumberFormat="1" applyFont="1" applyFill="1" applyBorder="1" applyAlignment="1">
      <alignment horizontal="right" vertical="top" wrapText="1"/>
    </xf>
    <xf numFmtId="0" fontId="4" fillId="16" borderId="24" xfId="0" applyFont="1" applyFill="1" applyBorder="1" applyAlignment="1">
      <alignment vertical="top" wrapText="1"/>
    </xf>
    <xf numFmtId="4" fontId="4" fillId="16" borderId="9" xfId="0" applyNumberFormat="1" applyFont="1" applyFill="1" applyBorder="1" applyAlignment="1">
      <alignment horizontal="right" vertical="top" wrapText="1"/>
    </xf>
    <xf numFmtId="4" fontId="4" fillId="16" borderId="8" xfId="0" applyNumberFormat="1" applyFont="1" applyFill="1" applyBorder="1" applyAlignment="1">
      <alignment vertical="top" wrapText="1"/>
    </xf>
    <xf numFmtId="4" fontId="4" fillId="16" borderId="21" xfId="0" applyNumberFormat="1" applyFont="1" applyFill="1" applyBorder="1" applyAlignment="1">
      <alignment vertical="top" wrapText="1"/>
    </xf>
    <xf numFmtId="4" fontId="4" fillId="16" borderId="2" xfId="0" applyNumberFormat="1" applyFont="1" applyFill="1" applyBorder="1" applyAlignment="1">
      <alignment vertical="top" wrapText="1"/>
    </xf>
    <xf numFmtId="4" fontId="4" fillId="16" borderId="22" xfId="0" applyNumberFormat="1" applyFont="1" applyFill="1" applyBorder="1" applyAlignment="1">
      <alignment vertical="top" wrapText="1"/>
    </xf>
    <xf numFmtId="4" fontId="4" fillId="16" borderId="24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>
      <alignment horizontal="left" vertical="top" wrapText="1"/>
    </xf>
    <xf numFmtId="0" fontId="6" fillId="18" borderId="0" xfId="0" applyFont="1" applyFill="1" applyBorder="1" applyAlignment="1">
      <alignment horizontal="right" vertical="top"/>
    </xf>
    <xf numFmtId="0" fontId="4" fillId="0" borderId="22" xfId="0" applyFont="1" applyFill="1" applyBorder="1" applyAlignment="1">
      <alignment vertical="top" wrapText="1"/>
    </xf>
    <xf numFmtId="0" fontId="4" fillId="16" borderId="9" xfId="0" applyFont="1" applyFill="1" applyBorder="1" applyAlignment="1">
      <alignment vertical="top" wrapText="1"/>
    </xf>
    <xf numFmtId="0" fontId="4" fillId="16" borderId="7" xfId="0" applyFont="1" applyFill="1" applyBorder="1" applyAlignment="1">
      <alignment vertical="top" wrapText="1"/>
    </xf>
    <xf numFmtId="0" fontId="13" fillId="20" borderId="27" xfId="0" applyFont="1" applyFill="1" applyBorder="1"/>
    <xf numFmtId="0" fontId="12" fillId="19" borderId="26" xfId="0" applyFont="1" applyFill="1" applyBorder="1" applyAlignment="1">
      <alignment vertical="top" wrapText="1"/>
    </xf>
    <xf numFmtId="0" fontId="12" fillId="19" borderId="27" xfId="0" applyFont="1" applyFill="1" applyBorder="1" applyAlignment="1">
      <alignment horizontal="center" vertical="top" wrapText="1"/>
    </xf>
    <xf numFmtId="4" fontId="4" fillId="16" borderId="32" xfId="0" applyNumberFormat="1" applyFont="1" applyFill="1" applyBorder="1" applyAlignment="1">
      <alignment horizontal="right" vertical="top" wrapText="1"/>
    </xf>
    <xf numFmtId="0" fontId="6" fillId="18" borderId="0" xfId="0" applyFont="1" applyFill="1" applyBorder="1"/>
    <xf numFmtId="4" fontId="6" fillId="18" borderId="20" xfId="0" applyNumberFormat="1" applyFont="1" applyFill="1" applyBorder="1"/>
    <xf numFmtId="0" fontId="4" fillId="0" borderId="26" xfId="0" applyFont="1" applyFill="1" applyBorder="1" applyAlignment="1">
      <alignment vertical="top" wrapText="1"/>
    </xf>
    <xf numFmtId="0" fontId="6" fillId="18" borderId="20" xfId="0" applyFont="1" applyFill="1" applyBorder="1" applyAlignment="1">
      <alignment horizontal="right" vertical="top"/>
    </xf>
    <xf numFmtId="0" fontId="4" fillId="16" borderId="40" xfId="0" applyFont="1" applyFill="1" applyBorder="1" applyAlignment="1">
      <alignment vertical="top" wrapText="1"/>
    </xf>
    <xf numFmtId="0" fontId="4" fillId="16" borderId="39" xfId="0" applyFont="1" applyFill="1" applyBorder="1" applyAlignment="1">
      <alignment vertical="top" wrapText="1"/>
    </xf>
    <xf numFmtId="164" fontId="4" fillId="0" borderId="22" xfId="0" applyNumberFormat="1" applyFont="1" applyFill="1" applyBorder="1" applyAlignment="1">
      <alignment horizontal="right" vertical="top" wrapText="1"/>
    </xf>
    <xf numFmtId="0" fontId="11" fillId="18" borderId="0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left" vertical="top" wrapText="1"/>
    </xf>
    <xf numFmtId="0" fontId="1" fillId="7" borderId="22" xfId="0" applyFont="1" applyFill="1" applyBorder="1" applyAlignment="1">
      <alignment vertical="top" wrapText="1"/>
    </xf>
    <xf numFmtId="164" fontId="1" fillId="2" borderId="22" xfId="0" applyNumberFormat="1" applyFont="1" applyFill="1" applyBorder="1" applyAlignment="1">
      <alignment horizontal="right" vertical="top" wrapText="1"/>
    </xf>
    <xf numFmtId="0" fontId="4" fillId="16" borderId="8" xfId="0" applyFont="1" applyFill="1" applyBorder="1" applyAlignment="1">
      <alignment vertical="top" wrapText="1"/>
    </xf>
    <xf numFmtId="0" fontId="4" fillId="16" borderId="6" xfId="0" applyFont="1" applyFill="1" applyBorder="1" applyAlignment="1">
      <alignment vertical="top" wrapText="1"/>
    </xf>
    <xf numFmtId="0" fontId="4" fillId="16" borderId="22" xfId="0" applyFont="1" applyFill="1" applyBorder="1" applyAlignment="1">
      <alignment horizontal="left" vertical="top" wrapText="1"/>
    </xf>
    <xf numFmtId="0" fontId="4" fillId="16" borderId="24" xfId="0" applyFont="1" applyFill="1" applyBorder="1" applyAlignment="1">
      <alignment horizontal="left" vertical="top" wrapText="1"/>
    </xf>
    <xf numFmtId="4" fontId="4" fillId="16" borderId="8" xfId="0" applyNumberFormat="1" applyFont="1" applyFill="1" applyBorder="1" applyAlignment="1">
      <alignment horizontal="right" vertical="top" wrapText="1"/>
    </xf>
    <xf numFmtId="4" fontId="4" fillId="16" borderId="4" xfId="0" applyNumberFormat="1" applyFont="1" applyFill="1" applyBorder="1" applyAlignment="1">
      <alignment horizontal="right" vertical="top" wrapText="1"/>
    </xf>
    <xf numFmtId="0" fontId="1" fillId="7" borderId="28" xfId="0" applyFont="1" applyFill="1" applyBorder="1" applyAlignment="1">
      <alignment horizontal="left" vertical="top" wrapText="1"/>
    </xf>
    <xf numFmtId="0" fontId="4" fillId="16" borderId="0" xfId="0" applyFont="1" applyFill="1" applyBorder="1" applyAlignment="1">
      <alignment vertical="top" wrapText="1"/>
    </xf>
    <xf numFmtId="0" fontId="4" fillId="16" borderId="0" xfId="0" applyFont="1" applyFill="1" applyBorder="1" applyAlignment="1">
      <alignment horizontal="left" vertical="top" wrapText="1"/>
    </xf>
    <xf numFmtId="0" fontId="1" fillId="16" borderId="9" xfId="0" applyFont="1" applyFill="1" applyBorder="1" applyAlignment="1">
      <alignment horizontal="left" vertical="top" wrapText="1"/>
    </xf>
    <xf numFmtId="0" fontId="1" fillId="16" borderId="9" xfId="0" applyFont="1" applyFill="1" applyBorder="1" applyAlignment="1">
      <alignment vertical="top" wrapText="1"/>
    </xf>
    <xf numFmtId="0" fontId="4" fillId="16" borderId="7" xfId="0" applyFont="1" applyFill="1" applyBorder="1" applyAlignment="1">
      <alignment horizontal="left" vertical="top" wrapText="1"/>
    </xf>
    <xf numFmtId="0" fontId="1" fillId="16" borderId="22" xfId="0" applyFont="1" applyFill="1" applyBorder="1" applyAlignment="1">
      <alignment horizontal="left" vertical="top" wrapText="1"/>
    </xf>
    <xf numFmtId="0" fontId="1" fillId="16" borderId="22" xfId="0" applyFont="1" applyFill="1" applyBorder="1" applyAlignment="1">
      <alignment vertical="top" wrapText="1"/>
    </xf>
    <xf numFmtId="164" fontId="1" fillId="16" borderId="22" xfId="0" applyNumberFormat="1" applyFont="1" applyFill="1" applyBorder="1" applyAlignment="1">
      <alignment horizontal="right" vertical="top" wrapText="1"/>
    </xf>
    <xf numFmtId="0" fontId="1" fillId="7" borderId="33" xfId="0" applyFont="1" applyFill="1" applyBorder="1" applyAlignment="1">
      <alignment horizontal="left" vertical="top" wrapText="1"/>
    </xf>
    <xf numFmtId="0" fontId="1" fillId="7" borderId="23" xfId="0" applyFont="1" applyFill="1" applyBorder="1" applyAlignment="1">
      <alignment horizontal="left" vertical="top" wrapText="1"/>
    </xf>
    <xf numFmtId="0" fontId="1" fillId="7" borderId="23" xfId="0" applyFont="1" applyFill="1" applyBorder="1" applyAlignment="1">
      <alignment vertical="top" wrapText="1"/>
    </xf>
    <xf numFmtId="0" fontId="4" fillId="16" borderId="23" xfId="0" applyFont="1" applyFill="1" applyBorder="1" applyAlignment="1">
      <alignment vertical="top" wrapText="1"/>
    </xf>
    <xf numFmtId="164" fontId="1" fillId="2" borderId="4" xfId="0" applyNumberFormat="1" applyFont="1" applyFill="1" applyBorder="1" applyAlignment="1">
      <alignment horizontal="right" vertical="top" wrapText="1"/>
    </xf>
    <xf numFmtId="0" fontId="4" fillId="16" borderId="9" xfId="0" applyFont="1" applyFill="1" applyBorder="1" applyAlignment="1">
      <alignment horizontal="left" vertical="top" wrapText="1"/>
    </xf>
    <xf numFmtId="164" fontId="4" fillId="16" borderId="24" xfId="0" applyNumberFormat="1" applyFont="1" applyFill="1" applyBorder="1" applyAlignment="1">
      <alignment horizontal="right" vertical="top" wrapText="1"/>
    </xf>
    <xf numFmtId="0" fontId="4" fillId="16" borderId="8" xfId="0" applyFont="1" applyFill="1" applyBorder="1" applyAlignment="1">
      <alignment horizontal="left" vertical="top" wrapText="1"/>
    </xf>
    <xf numFmtId="0" fontId="4" fillId="16" borderId="6" xfId="0" applyFont="1" applyFill="1" applyBorder="1" applyAlignment="1">
      <alignment horizontal="left" vertical="top" wrapText="1"/>
    </xf>
    <xf numFmtId="0" fontId="4" fillId="16" borderId="4" xfId="0" applyFont="1" applyFill="1" applyBorder="1" applyAlignment="1">
      <alignment vertical="top" wrapText="1"/>
    </xf>
    <xf numFmtId="4" fontId="14" fillId="14" borderId="0" xfId="0" applyNumberFormat="1" applyFont="1" applyFill="1" applyBorder="1" applyAlignment="1">
      <alignment horizontal="center" vertical="top"/>
    </xf>
    <xf numFmtId="0" fontId="2" fillId="11" borderId="0" xfId="0" applyFont="1" applyFill="1" applyBorder="1" applyAlignment="1">
      <alignment vertical="center" wrapText="1"/>
    </xf>
    <xf numFmtId="0" fontId="2" fillId="11" borderId="20" xfId="0" applyFont="1" applyFill="1" applyBorder="1" applyAlignment="1">
      <alignment vertical="center" wrapText="1"/>
    </xf>
    <xf numFmtId="164" fontId="4" fillId="16" borderId="2" xfId="0" applyNumberFormat="1" applyFont="1" applyFill="1" applyBorder="1" applyAlignment="1">
      <alignment horizontal="right" vertical="top" wrapText="1"/>
    </xf>
    <xf numFmtId="0" fontId="2" fillId="11" borderId="7" xfId="0" applyFont="1" applyFill="1" applyBorder="1" applyAlignment="1">
      <alignment vertical="center" wrapText="1"/>
    </xf>
    <xf numFmtId="44" fontId="1" fillId="17" borderId="27" xfId="0" applyNumberFormat="1" applyFont="1" applyFill="1" applyBorder="1" applyAlignment="1">
      <alignment horizontal="right" vertical="top" wrapText="1"/>
    </xf>
    <xf numFmtId="44" fontId="4" fillId="0" borderId="27" xfId="0" applyNumberFormat="1" applyFont="1" applyFill="1" applyBorder="1" applyAlignment="1">
      <alignment horizontal="right" vertical="top" wrapText="1"/>
    </xf>
    <xf numFmtId="44" fontId="12" fillId="19" borderId="21" xfId="0" applyNumberFormat="1" applyFont="1" applyFill="1" applyBorder="1" applyAlignment="1">
      <alignment horizontal="right" vertical="top" wrapText="1"/>
    </xf>
    <xf numFmtId="0" fontId="4" fillId="16" borderId="4" xfId="0" applyFont="1" applyFill="1" applyBorder="1" applyAlignment="1">
      <alignment horizontal="left" vertical="top" wrapText="1"/>
    </xf>
    <xf numFmtId="0" fontId="1" fillId="16" borderId="40" xfId="0" applyFont="1" applyFill="1" applyBorder="1" applyAlignment="1">
      <alignment horizontal="left" vertical="top" wrapText="1"/>
    </xf>
    <xf numFmtId="0" fontId="4" fillId="16" borderId="19" xfId="0" applyFont="1" applyFill="1" applyBorder="1" applyAlignment="1">
      <alignment vertical="top" wrapText="1"/>
    </xf>
    <xf numFmtId="0" fontId="4" fillId="16" borderId="40" xfId="0" applyFont="1" applyFill="1" applyBorder="1" applyAlignment="1">
      <alignment horizontal="left" vertical="top" wrapText="1"/>
    </xf>
    <xf numFmtId="4" fontId="14" fillId="14" borderId="20" xfId="0" applyNumberFormat="1" applyFont="1" applyFill="1" applyBorder="1" applyAlignment="1">
      <alignment horizontal="center" vertical="top" wrapText="1"/>
    </xf>
    <xf numFmtId="0" fontId="2" fillId="11" borderId="35" xfId="0" applyFont="1" applyFill="1" applyBorder="1" applyAlignment="1">
      <alignment vertical="center" wrapText="1"/>
    </xf>
    <xf numFmtId="4" fontId="4" fillId="16" borderId="23" xfId="0" applyNumberFormat="1" applyFont="1" applyFill="1" applyBorder="1" applyAlignment="1">
      <alignment horizontal="right" vertical="top" wrapText="1"/>
    </xf>
    <xf numFmtId="0" fontId="4" fillId="16" borderId="21" xfId="0" applyNumberFormat="1" applyFont="1" applyFill="1" applyBorder="1" applyAlignment="1">
      <alignment horizontal="left" vertical="top" wrapText="1"/>
    </xf>
    <xf numFmtId="0" fontId="1" fillId="7" borderId="34" xfId="0" applyFont="1" applyFill="1" applyBorder="1" applyAlignment="1">
      <alignment horizontal="left" vertical="top" wrapText="1"/>
    </xf>
    <xf numFmtId="0" fontId="1" fillId="7" borderId="28" xfId="0" applyFont="1" applyFill="1" applyBorder="1" applyAlignment="1">
      <alignment vertical="top" wrapText="1"/>
    </xf>
    <xf numFmtId="0" fontId="4" fillId="16" borderId="34" xfId="0" applyFont="1" applyFill="1" applyBorder="1" applyAlignment="1">
      <alignment vertical="top" wrapText="1"/>
    </xf>
    <xf numFmtId="4" fontId="14" fillId="14" borderId="9" xfId="0" applyNumberFormat="1" applyFont="1" applyFill="1" applyBorder="1" applyAlignment="1">
      <alignment horizontal="center" vertical="top" wrapText="1"/>
    </xf>
    <xf numFmtId="4" fontId="14" fillId="14" borderId="32" xfId="0" applyNumberFormat="1" applyFont="1" applyFill="1" applyBorder="1" applyAlignment="1">
      <alignment horizontal="center" vertical="top" wrapText="1"/>
    </xf>
    <xf numFmtId="0" fontId="4" fillId="16" borderId="19" xfId="0" applyFont="1" applyFill="1" applyBorder="1" applyAlignment="1">
      <alignment horizontal="left" vertical="top" wrapText="1"/>
    </xf>
    <xf numFmtId="0" fontId="6" fillId="0" borderId="7" xfId="0" applyFont="1" applyBorder="1"/>
    <xf numFmtId="0" fontId="6" fillId="0" borderId="24" xfId="0" applyFont="1" applyBorder="1"/>
    <xf numFmtId="0" fontId="4" fillId="0" borderId="0" xfId="0" applyFont="1" applyFill="1" applyBorder="1"/>
    <xf numFmtId="0" fontId="1" fillId="7" borderId="6" xfId="0" applyFont="1" applyFill="1" applyBorder="1" applyAlignment="1">
      <alignment horizontal="left" vertical="top" wrapText="1"/>
    </xf>
    <xf numFmtId="2" fontId="4" fillId="16" borderId="24" xfId="0" applyNumberFormat="1" applyFont="1" applyFill="1" applyBorder="1" applyAlignment="1">
      <alignment vertical="top" wrapText="1"/>
    </xf>
    <xf numFmtId="0" fontId="6" fillId="0" borderId="21" xfId="0" applyFont="1" applyBorder="1"/>
    <xf numFmtId="0" fontId="1" fillId="7" borderId="2" xfId="0" applyFont="1" applyFill="1" applyBorder="1" applyAlignment="1">
      <alignment horizontal="left" vertical="top" wrapText="1"/>
    </xf>
    <xf numFmtId="0" fontId="2" fillId="11" borderId="4" xfId="0" applyFont="1" applyFill="1" applyBorder="1" applyAlignment="1">
      <alignment horizontal="right" vertical="center" wrapText="1"/>
    </xf>
    <xf numFmtId="49" fontId="2" fillId="11" borderId="4" xfId="0" applyNumberFormat="1" applyFont="1" applyFill="1" applyBorder="1" applyAlignment="1">
      <alignment horizontal="right" vertical="center" wrapText="1"/>
    </xf>
    <xf numFmtId="0" fontId="2" fillId="11" borderId="4" xfId="0" applyNumberFormat="1" applyFont="1" applyFill="1" applyBorder="1" applyAlignment="1">
      <alignment horizontal="right" vertical="center" wrapText="1"/>
    </xf>
    <xf numFmtId="0" fontId="2" fillId="11" borderId="6" xfId="0" applyNumberFormat="1" applyFont="1" applyFill="1" applyBorder="1" applyAlignment="1">
      <alignment horizontal="right" vertical="center" wrapText="1"/>
    </xf>
    <xf numFmtId="166" fontId="4" fillId="0" borderId="21" xfId="0" applyNumberFormat="1" applyFont="1" applyBorder="1" applyAlignment="1">
      <alignment horizontal="right" vertical="top" wrapText="1"/>
    </xf>
    <xf numFmtId="44" fontId="4" fillId="0" borderId="21" xfId="1" applyFont="1" applyBorder="1" applyAlignment="1">
      <alignment horizontal="right" vertical="top" wrapText="1"/>
    </xf>
    <xf numFmtId="44" fontId="4" fillId="0" borderId="27" xfId="1" applyFont="1" applyBorder="1" applyAlignment="1">
      <alignment horizontal="right" vertical="top" wrapText="1"/>
    </xf>
    <xf numFmtId="0" fontId="5" fillId="18" borderId="0" xfId="0" applyFont="1" applyFill="1" applyBorder="1" applyAlignment="1">
      <alignment vertical="center" wrapText="1"/>
    </xf>
    <xf numFmtId="0" fontId="6" fillId="18" borderId="0" xfId="0" applyFont="1" applyFill="1"/>
    <xf numFmtId="164" fontId="4" fillId="16" borderId="6" xfId="0" applyNumberFormat="1" applyFont="1" applyFill="1" applyBorder="1" applyAlignment="1">
      <alignment horizontal="right" vertical="top" wrapText="1"/>
    </xf>
    <xf numFmtId="164" fontId="4" fillId="16" borderId="23" xfId="0" applyNumberFormat="1" applyFont="1" applyFill="1" applyBorder="1" applyAlignment="1">
      <alignment horizontal="right" vertical="top" wrapText="1"/>
    </xf>
    <xf numFmtId="0" fontId="6" fillId="18" borderId="0" xfId="0" applyFont="1" applyFill="1" applyBorder="1" applyAlignment="1">
      <alignment vertical="center"/>
    </xf>
    <xf numFmtId="0" fontId="2" fillId="5" borderId="13" xfId="0" applyFont="1" applyFill="1" applyBorder="1" applyAlignment="1">
      <alignment vertical="top" wrapText="1"/>
    </xf>
    <xf numFmtId="0" fontId="4" fillId="16" borderId="28" xfId="0" applyFont="1" applyFill="1" applyBorder="1" applyAlignment="1">
      <alignment horizontal="left" vertical="top" wrapText="1"/>
    </xf>
    <xf numFmtId="0" fontId="4" fillId="16" borderId="33" xfId="0" applyFont="1" applyFill="1" applyBorder="1" applyAlignment="1">
      <alignment horizontal="left" vertical="top" wrapText="1"/>
    </xf>
    <xf numFmtId="0" fontId="4" fillId="16" borderId="34" xfId="0" applyFont="1" applyFill="1" applyBorder="1" applyAlignment="1">
      <alignment horizontal="left" vertical="top" wrapText="1"/>
    </xf>
    <xf numFmtId="0" fontId="4" fillId="16" borderId="22" xfId="0" applyFont="1" applyFill="1" applyBorder="1" applyAlignment="1">
      <alignment horizontal="left" vertical="top" wrapText="1"/>
    </xf>
    <xf numFmtId="0" fontId="4" fillId="16" borderId="23" xfId="0" applyFont="1" applyFill="1" applyBorder="1" applyAlignment="1">
      <alignment horizontal="left" vertical="top" wrapText="1"/>
    </xf>
    <xf numFmtId="0" fontId="4" fillId="16" borderId="24" xfId="0" applyFont="1" applyFill="1" applyBorder="1" applyAlignment="1">
      <alignment horizontal="left" vertical="top" wrapText="1"/>
    </xf>
    <xf numFmtId="4" fontId="4" fillId="16" borderId="22" xfId="0" applyNumberFormat="1" applyFont="1" applyFill="1" applyBorder="1" applyAlignment="1">
      <alignment horizontal="right" vertical="top" wrapText="1"/>
    </xf>
    <xf numFmtId="4" fontId="4" fillId="16" borderId="24" xfId="0" applyNumberFormat="1" applyFont="1" applyFill="1" applyBorder="1" applyAlignment="1">
      <alignment horizontal="right" vertical="top" wrapText="1"/>
    </xf>
    <xf numFmtId="0" fontId="8" fillId="11" borderId="8" xfId="0" applyFont="1" applyFill="1" applyBorder="1" applyAlignment="1">
      <alignment horizontal="center" vertical="center"/>
    </xf>
    <xf numFmtId="0" fontId="8" fillId="11" borderId="9" xfId="0" applyFont="1" applyFill="1" applyBorder="1" applyAlignment="1">
      <alignment horizontal="center" vertical="center"/>
    </xf>
    <xf numFmtId="0" fontId="8" fillId="11" borderId="32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36" xfId="0" applyFont="1" applyFill="1" applyBorder="1" applyAlignment="1">
      <alignment horizontal="center" vertical="center" wrapText="1"/>
    </xf>
    <xf numFmtId="4" fontId="9" fillId="14" borderId="4" xfId="0" applyNumberFormat="1" applyFont="1" applyFill="1" applyBorder="1" applyAlignment="1">
      <alignment horizontal="center" vertical="center" wrapText="1"/>
    </xf>
    <xf numFmtId="4" fontId="9" fillId="14" borderId="0" xfId="0" applyNumberFormat="1" applyFont="1" applyFill="1" applyBorder="1" applyAlignment="1">
      <alignment horizontal="center" vertical="center" wrapText="1"/>
    </xf>
    <xf numFmtId="4" fontId="9" fillId="14" borderId="20" xfId="0" applyNumberFormat="1" applyFont="1" applyFill="1" applyBorder="1" applyAlignment="1">
      <alignment horizontal="center" vertical="center" wrapText="1"/>
    </xf>
    <xf numFmtId="4" fontId="4" fillId="16" borderId="6" xfId="0" applyNumberFormat="1" applyFont="1" applyFill="1" applyBorder="1" applyAlignment="1">
      <alignment horizontal="right" vertical="top" wrapText="1"/>
    </xf>
    <xf numFmtId="4" fontId="4" fillId="16" borderId="2" xfId="0" applyNumberFormat="1" applyFont="1" applyFill="1" applyBorder="1" applyAlignment="1">
      <alignment horizontal="right" vertical="top" wrapText="1"/>
    </xf>
    <xf numFmtId="4" fontId="4" fillId="16" borderId="45" xfId="0" applyNumberFormat="1" applyFont="1" applyFill="1" applyBorder="1" applyAlignment="1">
      <alignment horizontal="right" vertical="top" wrapText="1"/>
    </xf>
    <xf numFmtId="4" fontId="4" fillId="16" borderId="44" xfId="0" applyNumberFormat="1" applyFont="1" applyFill="1" applyBorder="1" applyAlignment="1">
      <alignment horizontal="right" vertical="top" wrapText="1"/>
    </xf>
    <xf numFmtId="0" fontId="6" fillId="18" borderId="8" xfId="0" applyFont="1" applyFill="1" applyBorder="1" applyAlignment="1">
      <alignment horizontal="center" vertical="center"/>
    </xf>
    <xf numFmtId="0" fontId="6" fillId="18" borderId="9" xfId="0" applyFont="1" applyFill="1" applyBorder="1" applyAlignment="1">
      <alignment horizontal="center" vertical="center"/>
    </xf>
    <xf numFmtId="0" fontId="6" fillId="18" borderId="4" xfId="0" applyFont="1" applyFill="1" applyBorder="1" applyAlignment="1">
      <alignment horizontal="center" vertical="center"/>
    </xf>
    <xf numFmtId="0" fontId="6" fillId="18" borderId="0" xfId="0" applyFont="1" applyFill="1" applyBorder="1" applyAlignment="1">
      <alignment horizontal="center" vertical="center"/>
    </xf>
    <xf numFmtId="0" fontId="8" fillId="11" borderId="36" xfId="0" applyFont="1" applyFill="1" applyBorder="1" applyAlignment="1">
      <alignment horizontal="center" vertical="center"/>
    </xf>
    <xf numFmtId="0" fontId="8" fillId="11" borderId="2" xfId="0" applyFont="1" applyFill="1" applyBorder="1" applyAlignment="1">
      <alignment horizontal="center" vertical="center"/>
    </xf>
    <xf numFmtId="0" fontId="8" fillId="11" borderId="3" xfId="0" applyFont="1" applyFill="1" applyBorder="1" applyAlignment="1">
      <alignment horizontal="center" vertical="center"/>
    </xf>
    <xf numFmtId="4" fontId="9" fillId="14" borderId="4" xfId="0" applyNumberFormat="1" applyFont="1" applyFill="1" applyBorder="1" applyAlignment="1">
      <alignment horizontal="center" vertical="center" wrapText="1"/>
    </xf>
    <xf numFmtId="4" fontId="9" fillId="14" borderId="0" xfId="0" applyNumberFormat="1" applyFont="1" applyFill="1" applyBorder="1" applyAlignment="1">
      <alignment horizontal="center" vertical="center" wrapText="1"/>
    </xf>
    <xf numFmtId="4" fontId="9" fillId="14" borderId="20" xfId="0" applyNumberFormat="1" applyFont="1" applyFill="1" applyBorder="1" applyAlignment="1">
      <alignment horizontal="center" vertical="center" wrapText="1"/>
    </xf>
    <xf numFmtId="0" fontId="4" fillId="16" borderId="45" xfId="0" applyFont="1" applyFill="1" applyBorder="1" applyAlignment="1">
      <alignment horizontal="left" vertical="top" wrapText="1"/>
    </xf>
    <xf numFmtId="4" fontId="4" fillId="18" borderId="0" xfId="0" applyNumberFormat="1" applyFont="1" applyFill="1" applyBorder="1" applyAlignment="1">
      <alignment horizontal="right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5" xfId="0" applyFont="1" applyFill="1" applyBorder="1" applyAlignment="1">
      <alignment vertical="top" wrapText="1"/>
    </xf>
    <xf numFmtId="0" fontId="6" fillId="18" borderId="9" xfId="0" applyFont="1" applyFill="1" applyBorder="1" applyAlignment="1">
      <alignment horizontal="right" vertical="top"/>
    </xf>
    <xf numFmtId="4" fontId="4" fillId="16" borderId="23" xfId="0" applyNumberFormat="1" applyFont="1" applyFill="1" applyBorder="1" applyAlignment="1">
      <alignment vertical="top" wrapText="1"/>
    </xf>
    <xf numFmtId="0" fontId="6" fillId="18" borderId="9" xfId="0" applyFont="1" applyFill="1" applyBorder="1" applyAlignment="1">
      <alignment vertical="center" wrapText="1"/>
    </xf>
    <xf numFmtId="0" fontId="6" fillId="18" borderId="0" xfId="0" applyFont="1" applyFill="1" applyBorder="1" applyAlignment="1">
      <alignment vertical="center" wrapText="1"/>
    </xf>
    <xf numFmtId="0" fontId="6" fillId="18" borderId="4" xfId="0" applyFont="1" applyFill="1" applyBorder="1" applyAlignment="1">
      <alignment vertical="center" wrapText="1"/>
    </xf>
    <xf numFmtId="4" fontId="6" fillId="18" borderId="0" xfId="0" applyNumberFormat="1" applyFont="1" applyFill="1" applyBorder="1" applyAlignment="1">
      <alignment vertical="center" wrapText="1"/>
    </xf>
    <xf numFmtId="0" fontId="6" fillId="18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6" fillId="0" borderId="39" xfId="0" applyFont="1" applyBorder="1"/>
    <xf numFmtId="0" fontId="6" fillId="0" borderId="26" xfId="0" applyFont="1" applyBorder="1"/>
    <xf numFmtId="0" fontId="6" fillId="18" borderId="32" xfId="0" applyFont="1" applyFill="1" applyBorder="1" applyAlignment="1">
      <alignment horizontal="center" vertical="center"/>
    </xf>
    <xf numFmtId="0" fontId="6" fillId="18" borderId="20" xfId="0" applyFont="1" applyFill="1" applyBorder="1" applyAlignment="1">
      <alignment horizontal="center" vertical="center"/>
    </xf>
    <xf numFmtId="0" fontId="4" fillId="16" borderId="39" xfId="0" applyFont="1" applyFill="1" applyBorder="1" applyAlignment="1">
      <alignment horizontal="left" vertical="top" wrapText="1"/>
    </xf>
    <xf numFmtId="0" fontId="6" fillId="18" borderId="32" xfId="0" applyFont="1" applyFill="1" applyBorder="1" applyAlignment="1">
      <alignment horizontal="right" vertical="top"/>
    </xf>
    <xf numFmtId="0" fontId="6" fillId="18" borderId="32" xfId="0" applyFont="1" applyFill="1" applyBorder="1" applyAlignment="1">
      <alignment vertical="center" wrapText="1"/>
    </xf>
    <xf numFmtId="0" fontId="6" fillId="18" borderId="20" xfId="0" applyFont="1" applyFill="1" applyBorder="1" applyAlignment="1">
      <alignment vertical="center" wrapText="1"/>
    </xf>
    <xf numFmtId="0" fontId="6" fillId="18" borderId="35" xfId="0" applyFont="1" applyFill="1" applyBorder="1" applyAlignment="1">
      <alignment horizontal="center" vertical="center" wrapText="1"/>
    </xf>
    <xf numFmtId="0" fontId="5" fillId="18" borderId="20" xfId="0" applyFont="1" applyFill="1" applyBorder="1" applyAlignment="1">
      <alignment vertical="center" wrapText="1"/>
    </xf>
    <xf numFmtId="164" fontId="4" fillId="16" borderId="8" xfId="0" applyNumberFormat="1" applyFont="1" applyFill="1" applyBorder="1" applyAlignment="1">
      <alignment horizontal="right" vertical="top" wrapText="1"/>
    </xf>
    <xf numFmtId="0" fontId="1" fillId="7" borderId="3" xfId="0" applyFont="1" applyFill="1" applyBorder="1" applyAlignment="1">
      <alignment horizontal="left" vertical="top" wrapText="1"/>
    </xf>
    <xf numFmtId="0" fontId="1" fillId="7" borderId="46" xfId="0" applyFont="1" applyFill="1" applyBorder="1" applyAlignment="1">
      <alignment horizontal="left" vertical="top" wrapText="1"/>
    </xf>
    <xf numFmtId="0" fontId="8" fillId="11" borderId="8" xfId="0" applyFont="1" applyFill="1" applyBorder="1" applyAlignment="1">
      <alignment horizontal="center" vertical="center"/>
    </xf>
    <xf numFmtId="0" fontId="8" fillId="11" borderId="9" xfId="0" applyFont="1" applyFill="1" applyBorder="1" applyAlignment="1">
      <alignment horizontal="center" vertical="center"/>
    </xf>
    <xf numFmtId="0" fontId="8" fillId="11" borderId="32" xfId="0" applyFont="1" applyFill="1" applyBorder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8" fillId="11" borderId="20" xfId="0" applyFont="1" applyFill="1" applyBorder="1" applyAlignment="1">
      <alignment horizontal="center" vertical="center"/>
    </xf>
    <xf numFmtId="0" fontId="1" fillId="0" borderId="0" xfId="0" applyFont="1" applyFill="1"/>
    <xf numFmtId="0" fontId="4" fillId="0" borderId="0" xfId="0" applyFont="1" applyFill="1"/>
    <xf numFmtId="0" fontId="4" fillId="0" borderId="22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vertical="top" wrapText="1"/>
    </xf>
    <xf numFmtId="0" fontId="4" fillId="0" borderId="22" xfId="0" applyFont="1" applyFill="1" applyBorder="1" applyAlignment="1">
      <alignment horizontal="center" vertical="top" wrapText="1"/>
    </xf>
    <xf numFmtId="0" fontId="4" fillId="0" borderId="24" xfId="0" applyFont="1" applyFill="1" applyBorder="1" applyAlignment="1">
      <alignment vertical="top" wrapText="1"/>
    </xf>
    <xf numFmtId="0" fontId="6" fillId="18" borderId="4" xfId="0" applyFont="1" applyFill="1" applyBorder="1" applyAlignment="1">
      <alignment horizontal="right" vertical="top"/>
    </xf>
    <xf numFmtId="0" fontId="4" fillId="0" borderId="23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right" vertical="top" wrapText="1"/>
    </xf>
    <xf numFmtId="0" fontId="6" fillId="0" borderId="22" xfId="0" applyFont="1" applyFill="1" applyBorder="1" applyAlignment="1">
      <alignment vertical="top" wrapText="1"/>
    </xf>
    <xf numFmtId="0" fontId="6" fillId="0" borderId="0" xfId="0" applyFont="1" applyBorder="1"/>
    <xf numFmtId="0" fontId="8" fillId="11" borderId="6" xfId="0" applyFont="1" applyFill="1" applyBorder="1" applyAlignment="1">
      <alignment horizontal="center" vertical="center"/>
    </xf>
    <xf numFmtId="0" fontId="6" fillId="18" borderId="6" xfId="0" applyFont="1" applyFill="1" applyBorder="1" applyAlignment="1">
      <alignment horizontal="center" vertical="center"/>
    </xf>
    <xf numFmtId="0" fontId="4" fillId="16" borderId="22" xfId="0" applyFont="1" applyFill="1" applyBorder="1" applyAlignment="1">
      <alignment horizontal="right" vertical="top" wrapText="1"/>
    </xf>
    <xf numFmtId="4" fontId="4" fillId="18" borderId="6" xfId="0" applyNumberFormat="1" applyFont="1" applyFill="1" applyBorder="1" applyAlignment="1">
      <alignment horizontal="right" vertical="top" wrapText="1"/>
    </xf>
    <xf numFmtId="4" fontId="4" fillId="18" borderId="7" xfId="0" applyNumberFormat="1" applyFont="1" applyFill="1" applyBorder="1" applyAlignment="1">
      <alignment horizontal="right" vertical="top" wrapText="1"/>
    </xf>
    <xf numFmtId="4" fontId="1" fillId="3" borderId="6" xfId="0" applyNumberFormat="1" applyFont="1" applyFill="1" applyBorder="1" applyAlignment="1">
      <alignment horizontal="right" vertical="top" wrapText="1"/>
    </xf>
    <xf numFmtId="4" fontId="1" fillId="3" borderId="7" xfId="0" applyNumberFormat="1" applyFont="1" applyFill="1" applyBorder="1" applyAlignment="1">
      <alignment horizontal="right" vertical="top" wrapText="1"/>
    </xf>
    <xf numFmtId="4" fontId="1" fillId="3" borderId="35" xfId="0" applyNumberFormat="1" applyFont="1" applyFill="1" applyBorder="1" applyAlignment="1">
      <alignment horizontal="right" vertical="top" wrapText="1"/>
    </xf>
    <xf numFmtId="4" fontId="4" fillId="18" borderId="8" xfId="0" applyNumberFormat="1" applyFont="1" applyFill="1" applyBorder="1" applyAlignment="1">
      <alignment horizontal="right" vertical="top" wrapText="1"/>
    </xf>
    <xf numFmtId="4" fontId="4" fillId="18" borderId="9" xfId="0" applyNumberFormat="1" applyFont="1" applyFill="1" applyBorder="1" applyAlignment="1">
      <alignment horizontal="right" vertical="top" wrapText="1"/>
    </xf>
    <xf numFmtId="4" fontId="4" fillId="18" borderId="45" xfId="0" applyNumberFormat="1" applyFont="1" applyFill="1" applyBorder="1" applyAlignment="1">
      <alignment horizontal="right" vertical="top" wrapText="1"/>
    </xf>
    <xf numFmtId="4" fontId="4" fillId="18" borderId="44" xfId="0" applyNumberFormat="1" applyFont="1" applyFill="1" applyBorder="1" applyAlignment="1">
      <alignment horizontal="right" vertical="top" wrapText="1"/>
    </xf>
    <xf numFmtId="0" fontId="6" fillId="0" borderId="22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horizontal="left" vertical="top" wrapText="1"/>
    </xf>
    <xf numFmtId="0" fontId="12" fillId="0" borderId="0" xfId="0" applyFont="1" applyFill="1"/>
    <xf numFmtId="0" fontId="9" fillId="0" borderId="0" xfId="0" applyFont="1" applyFill="1"/>
    <xf numFmtId="0" fontId="2" fillId="11" borderId="32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2" fontId="16" fillId="0" borderId="0" xfId="0" applyNumberFormat="1" applyFont="1" applyAlignment="1">
      <alignment horizontal="right" vertical="center" wrapText="1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left" vertical="top"/>
    </xf>
    <xf numFmtId="0" fontId="5" fillId="9" borderId="0" xfId="0" applyFont="1" applyFill="1" applyBorder="1" applyAlignment="1">
      <alignment vertical="top" wrapText="1"/>
    </xf>
    <xf numFmtId="0" fontId="2" fillId="5" borderId="13" xfId="0" applyFont="1" applyFill="1" applyBorder="1" applyAlignment="1">
      <alignment horizontal="left" vertical="top" wrapText="1"/>
    </xf>
    <xf numFmtId="0" fontId="5" fillId="9" borderId="0" xfId="0" applyFont="1" applyFill="1" applyBorder="1" applyAlignment="1">
      <alignment horizontal="left" vertical="top" wrapText="1"/>
    </xf>
    <xf numFmtId="0" fontId="4" fillId="0" borderId="21" xfId="0" applyFont="1" applyFill="1" applyBorder="1" applyAlignment="1">
      <alignment horizontal="center" vertical="top" wrapText="1"/>
    </xf>
    <xf numFmtId="164" fontId="4" fillId="0" borderId="21" xfId="0" applyNumberFormat="1" applyFont="1" applyFill="1" applyBorder="1" applyAlignment="1">
      <alignment horizontal="right" vertical="top" wrapText="1"/>
    </xf>
    <xf numFmtId="0" fontId="0" fillId="0" borderId="0" xfId="0" applyFill="1" applyAlignment="1">
      <alignment vertical="center"/>
    </xf>
    <xf numFmtId="2" fontId="16" fillId="0" borderId="0" xfId="0" applyNumberFormat="1" applyFont="1" applyFill="1" applyAlignment="1">
      <alignment horizontal="right" vertical="center" wrapText="1"/>
    </xf>
    <xf numFmtId="0" fontId="3" fillId="8" borderId="0" xfId="0" applyFont="1" applyFill="1" applyAlignment="1">
      <alignment horizontal="center" vertical="top" wrapText="1"/>
    </xf>
    <xf numFmtId="0" fontId="2" fillId="5" borderId="19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wrapText="1"/>
    </xf>
    <xf numFmtId="0" fontId="5" fillId="9" borderId="16" xfId="0" applyFont="1" applyFill="1" applyBorder="1" applyAlignment="1">
      <alignment vertical="top" wrapText="1"/>
    </xf>
    <xf numFmtId="0" fontId="5" fillId="9" borderId="17" xfId="0" applyFont="1" applyFill="1" applyBorder="1" applyAlignment="1">
      <alignment vertical="top" wrapText="1"/>
    </xf>
    <xf numFmtId="0" fontId="2" fillId="5" borderId="14" xfId="0" applyFont="1" applyFill="1" applyBorder="1" applyAlignment="1">
      <alignment vertical="top" wrapText="1"/>
    </xf>
    <xf numFmtId="0" fontId="2" fillId="5" borderId="13" xfId="0" applyFont="1" applyFill="1" applyBorder="1" applyAlignment="1">
      <alignment vertical="top" wrapText="1"/>
    </xf>
    <xf numFmtId="0" fontId="2" fillId="5" borderId="15" xfId="0" applyFont="1" applyFill="1" applyBorder="1" applyAlignment="1">
      <alignment vertical="top" wrapText="1"/>
    </xf>
    <xf numFmtId="0" fontId="5" fillId="9" borderId="19" xfId="0" applyFont="1" applyFill="1" applyBorder="1" applyAlignment="1">
      <alignment horizontal="center" wrapText="1"/>
    </xf>
    <xf numFmtId="0" fontId="5" fillId="9" borderId="0" xfId="0" applyFont="1" applyFill="1" applyBorder="1" applyAlignment="1">
      <alignment horizontal="center" wrapText="1"/>
    </xf>
    <xf numFmtId="10" fontId="15" fillId="0" borderId="0" xfId="2" applyNumberFormat="1" applyFont="1" applyFill="1" applyBorder="1" applyAlignment="1">
      <alignment horizontal="left" vertical="top" wrapText="1"/>
    </xf>
    <xf numFmtId="0" fontId="15" fillId="18" borderId="0" xfId="0" applyFont="1" applyFill="1" applyBorder="1" applyAlignment="1">
      <alignment vertical="top" wrapText="1"/>
    </xf>
    <xf numFmtId="0" fontId="15" fillId="18" borderId="20" xfId="0" applyFont="1" applyFill="1" applyBorder="1" applyAlignment="1">
      <alignment vertical="top" wrapText="1"/>
    </xf>
    <xf numFmtId="165" fontId="3" fillId="4" borderId="0" xfId="0" applyNumberFormat="1" applyFont="1" applyFill="1" applyAlignment="1">
      <alignment horizontal="right" vertical="top" wrapText="1"/>
    </xf>
    <xf numFmtId="4" fontId="1" fillId="14" borderId="3" xfId="0" applyNumberFormat="1" applyFont="1" applyFill="1" applyBorder="1" applyAlignment="1">
      <alignment horizontal="center" vertical="top" wrapText="1"/>
    </xf>
    <xf numFmtId="4" fontId="1" fillId="14" borderId="36" xfId="0" applyNumberFormat="1" applyFont="1" applyFill="1" applyBorder="1" applyAlignment="1">
      <alignment horizontal="center" vertical="top" wrapText="1"/>
    </xf>
    <xf numFmtId="0" fontId="8" fillId="11" borderId="8" xfId="0" applyFont="1" applyFill="1" applyBorder="1" applyAlignment="1">
      <alignment horizontal="center" vertical="center"/>
    </xf>
    <xf numFmtId="0" fontId="8" fillId="11" borderId="9" xfId="0" applyFont="1" applyFill="1" applyBorder="1" applyAlignment="1">
      <alignment horizontal="center" vertical="center"/>
    </xf>
    <xf numFmtId="0" fontId="8" fillId="11" borderId="32" xfId="0" applyFont="1" applyFill="1" applyBorder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8" fillId="11" borderId="20" xfId="0" applyFont="1" applyFill="1" applyBorder="1" applyAlignment="1">
      <alignment horizontal="center" vertical="center"/>
    </xf>
    <xf numFmtId="0" fontId="8" fillId="11" borderId="8" xfId="0" applyFont="1" applyFill="1" applyBorder="1" applyAlignment="1">
      <alignment horizontal="center" vertical="center" wrapText="1"/>
    </xf>
    <xf numFmtId="0" fontId="8" fillId="11" borderId="9" xfId="0" applyFont="1" applyFill="1" applyBorder="1" applyAlignment="1">
      <alignment horizontal="center" vertical="center" wrapText="1"/>
    </xf>
    <xf numFmtId="0" fontId="8" fillId="11" borderId="32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center" vertical="center" wrapText="1"/>
    </xf>
    <xf numFmtId="0" fontId="8" fillId="11" borderId="7" xfId="0" applyFont="1" applyFill="1" applyBorder="1" applyAlignment="1">
      <alignment horizontal="center" vertical="center" wrapText="1"/>
    </xf>
    <xf numFmtId="0" fontId="8" fillId="11" borderId="35" xfId="0" applyFont="1" applyFill="1" applyBorder="1" applyAlignment="1">
      <alignment horizontal="center" vertical="center" wrapText="1"/>
    </xf>
    <xf numFmtId="0" fontId="8" fillId="11" borderId="4" xfId="0" applyFont="1" applyFill="1" applyBorder="1" applyAlignment="1">
      <alignment horizontal="center" vertical="center" wrapText="1"/>
    </xf>
    <xf numFmtId="0" fontId="8" fillId="11" borderId="0" xfId="0" applyFont="1" applyFill="1" applyBorder="1" applyAlignment="1">
      <alignment horizontal="center" vertical="center" wrapText="1"/>
    </xf>
    <xf numFmtId="0" fontId="8" fillId="11" borderId="20" xfId="0" applyFont="1" applyFill="1" applyBorder="1" applyAlignment="1">
      <alignment horizontal="center" vertical="center" wrapText="1"/>
    </xf>
    <xf numFmtId="0" fontId="2" fillId="15" borderId="13" xfId="0" applyFont="1" applyFill="1" applyBorder="1" applyAlignment="1">
      <alignment horizontal="center" vertical="top" wrapText="1"/>
    </xf>
    <xf numFmtId="0" fontId="2" fillId="15" borderId="15" xfId="0" applyFont="1" applyFill="1" applyBorder="1" applyAlignment="1">
      <alignment horizontal="center" vertical="top" wrapText="1"/>
    </xf>
    <xf numFmtId="0" fontId="3" fillId="11" borderId="2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0" fontId="3" fillId="11" borderId="36" xfId="0" applyFont="1" applyFill="1" applyBorder="1" applyAlignment="1">
      <alignment horizontal="center" vertical="center"/>
    </xf>
    <xf numFmtId="0" fontId="3" fillId="11" borderId="7" xfId="0" applyFont="1" applyFill="1" applyBorder="1" applyAlignment="1">
      <alignment horizontal="center" vertical="top"/>
    </xf>
    <xf numFmtId="0" fontId="3" fillId="11" borderId="35" xfId="0" applyFont="1" applyFill="1" applyBorder="1" applyAlignment="1">
      <alignment horizontal="center" vertical="top"/>
    </xf>
    <xf numFmtId="4" fontId="1" fillId="14" borderId="21" xfId="0" applyNumberFormat="1" applyFont="1" applyFill="1" applyBorder="1" applyAlignment="1">
      <alignment horizontal="center" vertical="center"/>
    </xf>
    <xf numFmtId="4" fontId="1" fillId="14" borderId="27" xfId="0" applyNumberFormat="1" applyFont="1" applyFill="1" applyBorder="1" applyAlignment="1">
      <alignment horizontal="center" vertical="center"/>
    </xf>
    <xf numFmtId="4" fontId="1" fillId="14" borderId="4" xfId="0" applyNumberFormat="1" applyFont="1" applyFill="1" applyBorder="1" applyAlignment="1">
      <alignment horizontal="center" vertical="center" wrapText="1"/>
    </xf>
    <xf numFmtId="4" fontId="1" fillId="14" borderId="0" xfId="0" applyNumberFormat="1" applyFont="1" applyFill="1" applyBorder="1" applyAlignment="1">
      <alignment horizontal="center" vertical="center" wrapText="1"/>
    </xf>
    <xf numFmtId="4" fontId="1" fillId="14" borderId="20" xfId="0" applyNumberFormat="1" applyFont="1" applyFill="1" applyBorder="1" applyAlignment="1">
      <alignment horizontal="center" vertical="center" wrapText="1"/>
    </xf>
    <xf numFmtId="4" fontId="1" fillId="14" borderId="6" xfId="0" applyNumberFormat="1" applyFont="1" applyFill="1" applyBorder="1" applyAlignment="1">
      <alignment horizontal="center" vertical="center" wrapText="1"/>
    </xf>
    <xf numFmtId="4" fontId="1" fillId="14" borderId="7" xfId="0" applyNumberFormat="1" applyFont="1" applyFill="1" applyBorder="1" applyAlignment="1">
      <alignment horizontal="center" vertical="center" wrapText="1"/>
    </xf>
    <xf numFmtId="4" fontId="1" fillId="14" borderId="35" xfId="0" applyNumberFormat="1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32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2" fillId="10" borderId="12" xfId="0" applyFont="1" applyFill="1" applyBorder="1" applyAlignment="1">
      <alignment horizontal="center" vertical="center" wrapText="1"/>
    </xf>
    <xf numFmtId="4" fontId="1" fillId="14" borderId="2" xfId="0" applyNumberFormat="1" applyFont="1" applyFill="1" applyBorder="1" applyAlignment="1">
      <alignment horizontal="center" vertical="top" wrapText="1"/>
    </xf>
    <xf numFmtId="0" fontId="6" fillId="18" borderId="4" xfId="0" applyFont="1" applyFill="1" applyBorder="1" applyAlignment="1">
      <alignment horizontal="center" vertical="top"/>
    </xf>
    <xf numFmtId="0" fontId="6" fillId="18" borderId="0" xfId="0" applyFont="1" applyFill="1" applyBorder="1" applyAlignment="1">
      <alignment horizontal="center" vertical="top"/>
    </xf>
    <xf numFmtId="0" fontId="6" fillId="18" borderId="20" xfId="0" applyFont="1" applyFill="1" applyBorder="1" applyAlignment="1">
      <alignment horizontal="center" vertical="top"/>
    </xf>
    <xf numFmtId="0" fontId="5" fillId="9" borderId="16" xfId="0" applyFont="1" applyFill="1" applyBorder="1" applyAlignment="1">
      <alignment horizontal="center" wrapText="1"/>
    </xf>
    <xf numFmtId="0" fontId="5" fillId="9" borderId="17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vertical="top" wrapText="1"/>
    </xf>
    <xf numFmtId="4" fontId="1" fillId="3" borderId="23" xfId="0" applyNumberFormat="1" applyFont="1" applyFill="1" applyBorder="1" applyAlignment="1">
      <alignment horizontal="center" vertical="top" wrapText="1"/>
    </xf>
    <xf numFmtId="4" fontId="1" fillId="3" borderId="43" xfId="0" applyNumberFormat="1" applyFont="1" applyFill="1" applyBorder="1" applyAlignment="1">
      <alignment horizontal="center" vertical="top" wrapText="1"/>
    </xf>
    <xf numFmtId="4" fontId="9" fillId="14" borderId="8" xfId="0" applyNumberFormat="1" applyFont="1" applyFill="1" applyBorder="1" applyAlignment="1">
      <alignment horizontal="center" vertical="center" wrapText="1"/>
    </xf>
    <xf numFmtId="4" fontId="9" fillId="14" borderId="9" xfId="0" applyNumberFormat="1" applyFont="1" applyFill="1" applyBorder="1" applyAlignment="1">
      <alignment horizontal="center" vertical="center" wrapText="1"/>
    </xf>
    <xf numFmtId="4" fontId="9" fillId="14" borderId="32" xfId="0" applyNumberFormat="1" applyFont="1" applyFill="1" applyBorder="1" applyAlignment="1">
      <alignment horizontal="center" vertical="center" wrapText="1"/>
    </xf>
    <xf numFmtId="4" fontId="9" fillId="14" borderId="4" xfId="0" applyNumberFormat="1" applyFont="1" applyFill="1" applyBorder="1" applyAlignment="1">
      <alignment horizontal="center" vertical="center" wrapText="1"/>
    </xf>
    <xf numFmtId="4" fontId="9" fillId="14" borderId="0" xfId="0" applyNumberFormat="1" applyFont="1" applyFill="1" applyBorder="1" applyAlignment="1">
      <alignment horizontal="center" vertical="center" wrapText="1"/>
    </xf>
    <xf numFmtId="4" fontId="9" fillId="14" borderId="20" xfId="0" applyNumberFormat="1" applyFont="1" applyFill="1" applyBorder="1" applyAlignment="1">
      <alignment horizontal="center" vertical="center" wrapText="1"/>
    </xf>
    <xf numFmtId="4" fontId="9" fillId="14" borderId="6" xfId="0" applyNumberFormat="1" applyFont="1" applyFill="1" applyBorder="1" applyAlignment="1">
      <alignment horizontal="center" vertical="center" wrapText="1"/>
    </xf>
    <xf numFmtId="4" fontId="9" fillId="14" borderId="7" xfId="0" applyNumberFormat="1" applyFont="1" applyFill="1" applyBorder="1" applyAlignment="1">
      <alignment horizontal="center" vertical="center" wrapText="1"/>
    </xf>
    <xf numFmtId="4" fontId="9" fillId="14" borderId="35" xfId="0" applyNumberFormat="1" applyFont="1" applyFill="1" applyBorder="1" applyAlignment="1">
      <alignment horizontal="center" vertical="center" wrapText="1"/>
    </xf>
    <xf numFmtId="4" fontId="1" fillId="3" borderId="24" xfId="0" applyNumberFormat="1" applyFont="1" applyFill="1" applyBorder="1" applyAlignment="1">
      <alignment horizontal="center" vertical="top" wrapText="1"/>
    </xf>
    <xf numFmtId="4" fontId="1" fillId="3" borderId="42" xfId="0" applyNumberFormat="1" applyFont="1" applyFill="1" applyBorder="1" applyAlignment="1">
      <alignment horizontal="center" vertical="top" wrapText="1"/>
    </xf>
    <xf numFmtId="4" fontId="1" fillId="3" borderId="22" xfId="0" applyNumberFormat="1" applyFont="1" applyFill="1" applyBorder="1" applyAlignment="1">
      <alignment horizontal="center" vertical="top" wrapText="1"/>
    </xf>
    <xf numFmtId="4" fontId="1" fillId="3" borderId="41" xfId="0" applyNumberFormat="1" applyFont="1" applyFill="1" applyBorder="1" applyAlignment="1">
      <alignment horizontal="center" vertical="top" wrapText="1"/>
    </xf>
    <xf numFmtId="164" fontId="1" fillId="2" borderId="23" xfId="0" applyNumberFormat="1" applyFont="1" applyFill="1" applyBorder="1" applyAlignment="1">
      <alignment horizontal="center" vertical="top" wrapText="1"/>
    </xf>
    <xf numFmtId="164" fontId="1" fillId="2" borderId="43" xfId="0" applyNumberFormat="1" applyFont="1" applyFill="1" applyBorder="1" applyAlignment="1">
      <alignment horizontal="center" vertical="top" wrapText="1"/>
    </xf>
    <xf numFmtId="4" fontId="1" fillId="3" borderId="21" xfId="0" applyNumberFormat="1" applyFont="1" applyFill="1" applyBorder="1" applyAlignment="1">
      <alignment horizontal="center" vertical="top" wrapText="1"/>
    </xf>
    <xf numFmtId="4" fontId="1" fillId="3" borderId="27" xfId="0" applyNumberFormat="1" applyFont="1" applyFill="1" applyBorder="1" applyAlignment="1">
      <alignment horizontal="center" vertical="top" wrapText="1"/>
    </xf>
    <xf numFmtId="0" fontId="2" fillId="11" borderId="4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 wrapText="1"/>
    </xf>
    <xf numFmtId="0" fontId="2" fillId="11" borderId="20" xfId="0" applyFont="1" applyFill="1" applyBorder="1" applyAlignment="1">
      <alignment horizontal="center" vertical="center" wrapText="1"/>
    </xf>
    <xf numFmtId="164" fontId="1" fillId="7" borderId="2" xfId="0" applyNumberFormat="1" applyFont="1" applyFill="1" applyBorder="1" applyAlignment="1">
      <alignment horizontal="center" vertical="top" wrapText="1"/>
    </xf>
    <xf numFmtId="164" fontId="1" fillId="7" borderId="3" xfId="0" applyNumberFormat="1" applyFont="1" applyFill="1" applyBorder="1" applyAlignment="1">
      <alignment horizontal="center" vertical="top" wrapText="1"/>
    </xf>
    <xf numFmtId="164" fontId="1" fillId="7" borderId="36" xfId="0" applyNumberFormat="1" applyFont="1" applyFill="1" applyBorder="1" applyAlignment="1">
      <alignment horizontal="center" vertical="top" wrapText="1"/>
    </xf>
    <xf numFmtId="0" fontId="3" fillId="6" borderId="0" xfId="0" applyFont="1" applyFill="1" applyAlignment="1">
      <alignment horizontal="right" vertical="top" wrapText="1"/>
    </xf>
    <xf numFmtId="164" fontId="1" fillId="7" borderId="8" xfId="0" applyNumberFormat="1" applyFont="1" applyFill="1" applyBorder="1" applyAlignment="1">
      <alignment horizontal="center" vertical="top" wrapText="1"/>
    </xf>
    <xf numFmtId="164" fontId="1" fillId="7" borderId="9" xfId="0" applyNumberFormat="1" applyFont="1" applyFill="1" applyBorder="1" applyAlignment="1">
      <alignment horizontal="center" vertical="top" wrapText="1"/>
    </xf>
    <xf numFmtId="164" fontId="1" fillId="7" borderId="32" xfId="0" applyNumberFormat="1" applyFont="1" applyFill="1" applyBorder="1" applyAlignment="1">
      <alignment horizontal="center" vertical="top" wrapText="1"/>
    </xf>
    <xf numFmtId="0" fontId="2" fillId="11" borderId="2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36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11" borderId="35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5" fillId="9" borderId="19" xfId="0" applyFont="1" applyFill="1" applyBorder="1" applyAlignment="1">
      <alignment vertical="top" wrapText="1"/>
    </xf>
    <xf numFmtId="0" fontId="5" fillId="9" borderId="0" xfId="0" applyFont="1" applyFill="1" applyBorder="1" applyAlignment="1">
      <alignment vertical="top" wrapText="1"/>
    </xf>
    <xf numFmtId="0" fontId="2" fillId="5" borderId="13" xfId="0" applyFont="1" applyFill="1" applyBorder="1" applyAlignment="1">
      <alignment horizontal="left" vertical="top" wrapText="1"/>
    </xf>
    <xf numFmtId="0" fontId="2" fillId="5" borderId="15" xfId="0" applyFont="1" applyFill="1" applyBorder="1" applyAlignment="1">
      <alignment horizontal="left" vertical="top" wrapText="1"/>
    </xf>
    <xf numFmtId="0" fontId="5" fillId="9" borderId="0" xfId="0" applyFont="1" applyFill="1" applyBorder="1" applyAlignment="1">
      <alignment horizontal="left" vertical="top" wrapText="1"/>
    </xf>
    <xf numFmtId="0" fontId="5" fillId="9" borderId="2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8" fillId="0" borderId="21" xfId="3" applyFont="1" applyBorder="1" applyAlignment="1">
      <alignment horizontal="center" vertical="center" wrapText="1"/>
    </xf>
    <xf numFmtId="0" fontId="18" fillId="0" borderId="3" xfId="3" applyFont="1" applyBorder="1" applyAlignment="1">
      <alignment horizontal="center" vertical="center" wrapText="1"/>
    </xf>
    <xf numFmtId="0" fontId="20" fillId="0" borderId="21" xfId="3" applyFont="1" applyBorder="1" applyAlignment="1">
      <alignment horizontal="center" vertical="center" wrapText="1"/>
    </xf>
    <xf numFmtId="0" fontId="20" fillId="0" borderId="2" xfId="3" applyFont="1" applyBorder="1" applyAlignment="1">
      <alignment horizontal="center" vertical="center" wrapText="1"/>
    </xf>
    <xf numFmtId="0" fontId="20" fillId="0" borderId="46" xfId="3" applyFont="1" applyBorder="1" applyAlignment="1">
      <alignment horizontal="center" vertical="center" wrapText="1"/>
    </xf>
    <xf numFmtId="0" fontId="21" fillId="0" borderId="21" xfId="3" applyFont="1" applyBorder="1" applyAlignment="1">
      <alignment horizontal="left" vertical="top" wrapText="1"/>
    </xf>
    <xf numFmtId="0" fontId="21" fillId="0" borderId="46" xfId="3" applyFont="1" applyBorder="1" applyAlignment="1">
      <alignment horizontal="left" vertical="top"/>
    </xf>
    <xf numFmtId="10" fontId="21" fillId="0" borderId="21" xfId="3" applyNumberFormat="1" applyFont="1" applyBorder="1" applyAlignment="1">
      <alignment horizontal="center" vertical="center" wrapText="1"/>
    </xf>
    <xf numFmtId="43" fontId="22" fillId="0" borderId="21" xfId="3" applyNumberFormat="1" applyFont="1" applyBorder="1" applyAlignment="1">
      <alignment vertical="center" wrapText="1"/>
    </xf>
    <xf numFmtId="0" fontId="21" fillId="0" borderId="2" xfId="3" applyFont="1" applyBorder="1" applyAlignment="1">
      <alignment horizontal="left" vertical="top"/>
    </xf>
    <xf numFmtId="4" fontId="21" fillId="0" borderId="46" xfId="3" applyNumberFormat="1" applyFont="1" applyBorder="1" applyAlignment="1">
      <alignment horizontal="left" vertical="top" wrapText="1"/>
    </xf>
    <xf numFmtId="0" fontId="21" fillId="0" borderId="46" xfId="3" applyFont="1" applyBorder="1" applyAlignment="1">
      <alignment horizontal="left" vertical="top" wrapText="1"/>
    </xf>
    <xf numFmtId="43" fontId="21" fillId="0" borderId="21" xfId="3" applyNumberFormat="1" applyFont="1" applyBorder="1" applyAlignment="1">
      <alignment horizontal="right" vertical="center" wrapText="1"/>
    </xf>
    <xf numFmtId="0" fontId="21" fillId="0" borderId="21" xfId="3" applyFont="1" applyBorder="1" applyAlignment="1">
      <alignment horizontal="center" vertical="center" wrapText="1"/>
    </xf>
    <xf numFmtId="10" fontId="21" fillId="0" borderId="21" xfId="3" applyNumberFormat="1" applyFont="1" applyBorder="1" applyAlignment="1">
      <alignment horizontal="right" vertical="center" wrapText="1"/>
    </xf>
    <xf numFmtId="0" fontId="23" fillId="0" borderId="21" xfId="3" applyFont="1" applyBorder="1" applyAlignment="1">
      <alignment horizontal="right" vertical="center" wrapText="1"/>
    </xf>
    <xf numFmtId="0" fontId="21" fillId="0" borderId="21" xfId="3" applyFont="1" applyBorder="1" applyAlignment="1">
      <alignment horizontal="left" vertical="top" wrapText="1"/>
    </xf>
    <xf numFmtId="43" fontId="21" fillId="0" borderId="21" xfId="3" applyNumberFormat="1" applyFont="1" applyBorder="1" applyAlignment="1">
      <alignment horizontal="left" vertical="top" wrapText="1"/>
    </xf>
    <xf numFmtId="0" fontId="23" fillId="0" borderId="21" xfId="3" applyFont="1" applyBorder="1" applyAlignment="1">
      <alignment horizontal="center" vertical="center" wrapText="1"/>
    </xf>
    <xf numFmtId="43" fontId="21" fillId="0" borderId="21" xfId="3" applyNumberFormat="1" applyFont="1" applyBorder="1" applyAlignment="1">
      <alignment horizontal="center" vertical="center" wrapText="1"/>
    </xf>
    <xf numFmtId="0" fontId="21" fillId="0" borderId="2" xfId="3" applyFont="1" applyBorder="1" applyAlignment="1">
      <alignment vertical="top"/>
    </xf>
    <xf numFmtId="44" fontId="21" fillId="0" borderId="21" xfId="1" applyFont="1" applyBorder="1" applyAlignment="1">
      <alignment horizontal="left" vertical="top" wrapText="1"/>
    </xf>
    <xf numFmtId="44" fontId="21" fillId="0" borderId="21" xfId="1" applyFont="1" applyBorder="1" applyAlignment="1">
      <alignment horizontal="right" vertical="top" wrapText="1"/>
    </xf>
    <xf numFmtId="44" fontId="22" fillId="0" borderId="21" xfId="1" applyFont="1" applyBorder="1" applyAlignment="1">
      <alignment vertical="center" wrapText="1"/>
    </xf>
    <xf numFmtId="43" fontId="22" fillId="0" borderId="21" xfId="3" applyNumberFormat="1" applyFont="1" applyBorder="1" applyAlignment="1">
      <alignment horizontal="center" vertical="center" wrapText="1"/>
    </xf>
    <xf numFmtId="10" fontId="23" fillId="0" borderId="21" xfId="2" applyNumberFormat="1" applyFont="1" applyBorder="1" applyAlignment="1">
      <alignment horizontal="center" vertical="center" wrapText="1"/>
    </xf>
    <xf numFmtId="0" fontId="17" fillId="0" borderId="0" xfId="3" applyBorder="1" applyAlignment="1">
      <alignment horizontal="center" vertical="center" wrapText="1"/>
    </xf>
    <xf numFmtId="0" fontId="17" fillId="0" borderId="5" xfId="3" applyBorder="1" applyAlignment="1">
      <alignment horizontal="center" vertical="center" wrapText="1"/>
    </xf>
    <xf numFmtId="0" fontId="18" fillId="0" borderId="0" xfId="3" applyFont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44" xfId="3" applyFont="1" applyBorder="1" applyAlignment="1">
      <alignment horizontal="center" vertical="center" wrapText="1"/>
    </xf>
    <xf numFmtId="0" fontId="18" fillId="0" borderId="46" xfId="3" applyFont="1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17" fillId="0" borderId="19" xfId="3" applyBorder="1" applyAlignment="1">
      <alignment horizontal="center" vertical="center" wrapText="1"/>
    </xf>
    <xf numFmtId="10" fontId="18" fillId="0" borderId="27" xfId="3" applyNumberFormat="1" applyFont="1" applyBorder="1" applyAlignment="1">
      <alignment horizontal="center" vertical="center" wrapText="1"/>
    </xf>
    <xf numFmtId="0" fontId="18" fillId="0" borderId="19" xfId="3" applyFont="1" applyBorder="1" applyAlignment="1">
      <alignment horizontal="center" vertical="center" wrapText="1"/>
    </xf>
    <xf numFmtId="0" fontId="19" fillId="0" borderId="39" xfId="3" applyFont="1" applyBorder="1" applyAlignment="1">
      <alignment horizontal="center" vertical="center" wrapText="1"/>
    </xf>
    <xf numFmtId="0" fontId="18" fillId="0" borderId="47" xfId="3" applyFont="1" applyBorder="1" applyAlignment="1">
      <alignment horizontal="center" vertical="center" wrapText="1"/>
    </xf>
    <xf numFmtId="0" fontId="20" fillId="0" borderId="26" xfId="3" applyFont="1" applyBorder="1" applyAlignment="1">
      <alignment horizontal="center" vertical="center" wrapText="1"/>
    </xf>
    <xf numFmtId="0" fontId="20" fillId="0" borderId="36" xfId="3" applyFont="1" applyBorder="1" applyAlignment="1">
      <alignment horizontal="center" vertical="center" wrapText="1"/>
    </xf>
    <xf numFmtId="0" fontId="21" fillId="0" borderId="26" xfId="3" applyFont="1" applyBorder="1" applyAlignment="1">
      <alignment horizontal="left" vertical="top" wrapText="1"/>
    </xf>
    <xf numFmtId="43" fontId="22" fillId="0" borderId="27" xfId="3" applyNumberFormat="1" applyFont="1" applyBorder="1" applyAlignment="1">
      <alignment vertical="center" wrapText="1"/>
    </xf>
    <xf numFmtId="44" fontId="22" fillId="0" borderId="27" xfId="1" applyFont="1" applyBorder="1" applyAlignment="1">
      <alignment vertical="center" wrapText="1"/>
    </xf>
    <xf numFmtId="0" fontId="21" fillId="0" borderId="47" xfId="3" applyFont="1" applyBorder="1" applyAlignment="1">
      <alignment horizontal="left" vertical="top" wrapText="1"/>
    </xf>
    <xf numFmtId="10" fontId="21" fillId="0" borderId="27" xfId="3" applyNumberFormat="1" applyFont="1" applyBorder="1" applyAlignment="1">
      <alignment horizontal="right" vertical="center" wrapText="1"/>
    </xf>
    <xf numFmtId="0" fontId="21" fillId="0" borderId="26" xfId="3" applyFont="1" applyBorder="1" applyAlignment="1">
      <alignment horizontal="left" vertical="top" wrapText="1"/>
    </xf>
    <xf numFmtId="43" fontId="21" fillId="0" borderId="27" xfId="3" applyNumberFormat="1" applyFont="1" applyBorder="1" applyAlignment="1">
      <alignment horizontal="left" vertical="top" wrapText="1"/>
    </xf>
    <xf numFmtId="43" fontId="21" fillId="0" borderId="27" xfId="3" applyNumberFormat="1" applyFont="1" applyBorder="1" applyAlignment="1">
      <alignment horizontal="right" vertical="center" wrapText="1"/>
    </xf>
    <xf numFmtId="0" fontId="0" fillId="0" borderId="19" xfId="0" applyBorder="1"/>
    <xf numFmtId="0" fontId="0" fillId="0" borderId="0" xfId="0" applyBorder="1"/>
    <xf numFmtId="0" fontId="0" fillId="0" borderId="2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4">
    <cellStyle name="Moeda" xfId="1" builtinId="4"/>
    <cellStyle name="Normal" xfId="0" builtinId="0"/>
    <cellStyle name="Normal 4" xfId="3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457200</xdr:colOff>
      <xdr:row>0</xdr:row>
      <xdr:rowOff>123825</xdr:rowOff>
    </xdr:from>
    <xdr:to>
      <xdr:col>3</xdr:col>
      <xdr:colOff>1400175</xdr:colOff>
      <xdr:row>1</xdr:row>
      <xdr:rowOff>972674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650" y="123825"/>
          <a:ext cx="942975" cy="1039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438150</xdr:colOff>
      <xdr:row>0</xdr:row>
      <xdr:rowOff>90734</xdr:rowOff>
    </xdr:from>
    <xdr:to>
      <xdr:col>3</xdr:col>
      <xdr:colOff>1381125</xdr:colOff>
      <xdr:row>1</xdr:row>
      <xdr:rowOff>939583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600" y="90734"/>
          <a:ext cx="942975" cy="10393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457200</xdr:colOff>
      <xdr:row>0</xdr:row>
      <xdr:rowOff>123825</xdr:rowOff>
    </xdr:from>
    <xdr:to>
      <xdr:col>3</xdr:col>
      <xdr:colOff>1400175</xdr:colOff>
      <xdr:row>1</xdr:row>
      <xdr:rowOff>972674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9FC0D995-C4B3-470A-A902-AEF0EB7944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650" y="123825"/>
          <a:ext cx="942975" cy="10393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457200</xdr:colOff>
      <xdr:row>0</xdr:row>
      <xdr:rowOff>123825</xdr:rowOff>
    </xdr:from>
    <xdr:to>
      <xdr:col>3</xdr:col>
      <xdr:colOff>1400175</xdr:colOff>
      <xdr:row>1</xdr:row>
      <xdr:rowOff>972674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CC791F01-A5D9-4061-AC95-F76555FB4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650" y="123825"/>
          <a:ext cx="942975" cy="10393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234482</xdr:colOff>
      <xdr:row>0</xdr:row>
      <xdr:rowOff>0</xdr:rowOff>
    </xdr:from>
    <xdr:to>
      <xdr:col>13</xdr:col>
      <xdr:colOff>402915</xdr:colOff>
      <xdr:row>4</xdr:row>
      <xdr:rowOff>110908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22086" y="0"/>
          <a:ext cx="776975" cy="85174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e/Documents/LAGOA%20DA%20CANOA/INFRAESTRUTURA/EST&#193;DIO/Finalizado/Planilhas%20e%20Documentos/PLANILHA_MEMORIAL_COMPOSI&#199;&#213;ES_CRONOGRAM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MEMÓRIAL DE CÁLCULO."/>
      <sheetName val="COMPOSIÇÕES"/>
      <sheetName val="CRONOGRAMA FÍSICO-FINANCEIRO"/>
      <sheetName val="RUP"/>
    </sheetNames>
    <sheetDataSet>
      <sheetData sheetId="0">
        <row r="18">
          <cell r="A18">
            <v>1</v>
          </cell>
        </row>
        <row r="28">
          <cell r="A28">
            <v>2</v>
          </cell>
        </row>
        <row r="38">
          <cell r="A38" t="str">
            <v>3.0</v>
          </cell>
        </row>
        <row r="42">
          <cell r="A42">
            <v>4</v>
          </cell>
        </row>
        <row r="43">
          <cell r="A43" t="str">
            <v>4.1</v>
          </cell>
        </row>
        <row r="49">
          <cell r="A49" t="str">
            <v>4.2</v>
          </cell>
        </row>
        <row r="53">
          <cell r="A53" t="str">
            <v>4.3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304"/>
  <sheetViews>
    <sheetView topLeftCell="A3" zoomScaleNormal="100" workbookViewId="0">
      <selection activeCell="I299" sqref="I299"/>
    </sheetView>
  </sheetViews>
  <sheetFormatPr defaultColWidth="9.140625" defaultRowHeight="15" x14ac:dyDescent="0.25"/>
  <cols>
    <col min="1" max="1" width="9.7109375" customWidth="1"/>
    <col min="2" max="2" width="11.7109375" style="342" customWidth="1"/>
    <col min="3" max="3" width="9.7109375" style="342" customWidth="1"/>
    <col min="4" max="4" width="58.5703125" customWidth="1"/>
    <col min="5" max="5" width="17" style="59" customWidth="1"/>
    <col min="6" max="8" width="13.7109375" customWidth="1"/>
    <col min="9" max="9" width="15.5703125" customWidth="1"/>
    <col min="10" max="10" width="12.5703125" bestFit="1" customWidth="1"/>
  </cols>
  <sheetData>
    <row r="1" spans="1:10" x14ac:dyDescent="0.25">
      <c r="A1" s="355"/>
      <c r="B1" s="356"/>
      <c r="C1" s="356"/>
      <c r="D1" s="356"/>
      <c r="E1" s="110" t="s">
        <v>38</v>
      </c>
      <c r="F1" s="356" t="s">
        <v>33</v>
      </c>
      <c r="G1" s="356"/>
      <c r="H1" s="356" t="s">
        <v>24</v>
      </c>
      <c r="I1" s="357"/>
    </row>
    <row r="2" spans="1:10" ht="114.75" customHeight="1" x14ac:dyDescent="0.25">
      <c r="A2" s="358" t="s">
        <v>53</v>
      </c>
      <c r="B2" s="359"/>
      <c r="C2" s="359"/>
      <c r="D2" s="359"/>
      <c r="E2" s="111" t="s">
        <v>697</v>
      </c>
      <c r="F2" s="360">
        <v>0.27929999999999999</v>
      </c>
      <c r="G2" s="360"/>
      <c r="H2" s="361" t="s">
        <v>69</v>
      </c>
      <c r="I2" s="362"/>
    </row>
    <row r="3" spans="1:10" ht="24" customHeight="1" x14ac:dyDescent="0.25">
      <c r="A3" s="351" t="s">
        <v>25</v>
      </c>
      <c r="B3" s="352"/>
      <c r="C3" s="352"/>
      <c r="D3" s="352"/>
      <c r="E3" s="54"/>
      <c r="F3" s="107"/>
      <c r="G3" s="107"/>
      <c r="H3" s="107"/>
      <c r="I3" s="108"/>
    </row>
    <row r="4" spans="1:10" ht="15.75" thickBot="1" x14ac:dyDescent="0.3">
      <c r="A4" s="353" t="s">
        <v>83</v>
      </c>
      <c r="B4" s="354"/>
      <c r="C4" s="354"/>
      <c r="D4" s="354"/>
      <c r="E4" s="55"/>
      <c r="F4" s="105"/>
      <c r="G4" s="105"/>
      <c r="H4" s="105"/>
      <c r="I4" s="109"/>
    </row>
    <row r="5" spans="1:10" ht="15" customHeight="1" thickBot="1" x14ac:dyDescent="0.3">
      <c r="A5" s="30" t="s">
        <v>37</v>
      </c>
      <c r="B5" s="49"/>
      <c r="C5" s="49"/>
      <c r="D5" s="31"/>
      <c r="E5" s="16"/>
      <c r="F5" s="31"/>
      <c r="G5" s="31"/>
      <c r="H5" s="31"/>
      <c r="I5" s="32"/>
    </row>
    <row r="6" spans="1:10" s="1" customFormat="1" ht="22.5" customHeight="1" x14ac:dyDescent="0.2">
      <c r="A6" s="118" t="s">
        <v>29</v>
      </c>
      <c r="B6" s="119" t="s">
        <v>19</v>
      </c>
      <c r="C6" s="119" t="s">
        <v>5</v>
      </c>
      <c r="D6" s="120" t="s">
        <v>13</v>
      </c>
      <c r="E6" s="77" t="s">
        <v>9</v>
      </c>
      <c r="F6" s="78" t="s">
        <v>26</v>
      </c>
      <c r="G6" s="78" t="s">
        <v>48</v>
      </c>
      <c r="H6" s="78" t="s">
        <v>28</v>
      </c>
      <c r="I6" s="79" t="s">
        <v>21</v>
      </c>
    </row>
    <row r="7" spans="1:10" s="125" customFormat="1" ht="12" x14ac:dyDescent="0.2">
      <c r="A7" s="121">
        <v>1</v>
      </c>
      <c r="B7" s="122"/>
      <c r="C7" s="122"/>
      <c r="D7" s="121" t="s">
        <v>89</v>
      </c>
      <c r="E7" s="123"/>
      <c r="F7" s="124"/>
      <c r="G7" s="124"/>
      <c r="H7" s="124"/>
      <c r="I7" s="214">
        <f>SUM(I9:I15)</f>
        <v>37795.611055400004</v>
      </c>
    </row>
    <row r="8" spans="1:10" s="125" customFormat="1" ht="12" x14ac:dyDescent="0.2">
      <c r="A8" s="121">
        <v>1</v>
      </c>
      <c r="B8" s="122"/>
      <c r="C8" s="122"/>
      <c r="D8" s="121" t="s">
        <v>89</v>
      </c>
      <c r="E8" s="123"/>
      <c r="F8" s="124"/>
      <c r="G8" s="124"/>
      <c r="H8" s="124"/>
      <c r="I8" s="214">
        <f>SUM(I9:I15)</f>
        <v>37795.611055400004</v>
      </c>
    </row>
    <row r="9" spans="1:10" s="3" customFormat="1" ht="11.25" x14ac:dyDescent="0.2">
      <c r="A9" s="82" t="s">
        <v>0</v>
      </c>
      <c r="B9" s="29" t="s">
        <v>34</v>
      </c>
      <c r="C9" s="29" t="s">
        <v>12</v>
      </c>
      <c r="D9" s="44" t="s">
        <v>1</v>
      </c>
      <c r="E9" s="22" t="s">
        <v>6</v>
      </c>
      <c r="F9" s="33">
        <f>'Memória de Cálculo '!F7</f>
        <v>4.5</v>
      </c>
      <c r="G9" s="37">
        <v>316.12</v>
      </c>
      <c r="H9" s="38">
        <f>G9*($F$2+1)</f>
        <v>404.41231600000003</v>
      </c>
      <c r="I9" s="83">
        <f>F9*H9</f>
        <v>1819.8554220000001</v>
      </c>
      <c r="J9" s="74"/>
    </row>
    <row r="10" spans="1:10" s="3" customFormat="1" ht="22.5" x14ac:dyDescent="0.2">
      <c r="A10" s="82" t="s">
        <v>116</v>
      </c>
      <c r="B10" s="29" t="s">
        <v>123</v>
      </c>
      <c r="C10" s="29" t="s">
        <v>12</v>
      </c>
      <c r="D10" s="35" t="s">
        <v>104</v>
      </c>
      <c r="E10" s="22" t="s">
        <v>6</v>
      </c>
      <c r="F10" s="33">
        <f>'Memória de Cálculo '!F8</f>
        <v>3466.8</v>
      </c>
      <c r="G10" s="37">
        <v>0.46</v>
      </c>
      <c r="H10" s="38">
        <f t="shared" ref="H10:H15" si="0">G10*($F$2+1)</f>
        <v>0.58847800000000006</v>
      </c>
      <c r="I10" s="83">
        <f t="shared" ref="I10:I15" si="1">F10*H10</f>
        <v>2040.1355304000003</v>
      </c>
      <c r="J10" s="74"/>
    </row>
    <row r="11" spans="1:10" s="3" customFormat="1" ht="22.5" x14ac:dyDescent="0.2">
      <c r="A11" s="82" t="s">
        <v>117</v>
      </c>
      <c r="B11" s="29">
        <v>4177</v>
      </c>
      <c r="C11" s="29" t="s">
        <v>23</v>
      </c>
      <c r="D11" s="35" t="s">
        <v>179</v>
      </c>
      <c r="E11" s="22" t="s">
        <v>6</v>
      </c>
      <c r="F11" s="33">
        <f>'Memória de Cálculo '!F9</f>
        <v>3466.8</v>
      </c>
      <c r="G11" s="37">
        <v>4.25</v>
      </c>
      <c r="H11" s="38">
        <f t="shared" si="0"/>
        <v>5.4370250000000002</v>
      </c>
      <c r="I11" s="83">
        <f t="shared" si="1"/>
        <v>18849.078270000002</v>
      </c>
      <c r="J11" s="74"/>
    </row>
    <row r="12" spans="1:10" s="3" customFormat="1" ht="33.75" x14ac:dyDescent="0.2">
      <c r="A12" s="82" t="s">
        <v>118</v>
      </c>
      <c r="B12" s="29">
        <v>6096</v>
      </c>
      <c r="C12" s="29" t="s">
        <v>23</v>
      </c>
      <c r="D12" s="35" t="s">
        <v>105</v>
      </c>
      <c r="E12" s="22" t="s">
        <v>17</v>
      </c>
      <c r="F12" s="33">
        <f>'Memória de Cálculo '!F10</f>
        <v>1</v>
      </c>
      <c r="G12" s="37">
        <v>416.16</v>
      </c>
      <c r="H12" s="38">
        <f t="shared" si="0"/>
        <v>532.39348800000005</v>
      </c>
      <c r="I12" s="83">
        <f t="shared" si="1"/>
        <v>532.39348800000005</v>
      </c>
      <c r="J12" s="74"/>
    </row>
    <row r="13" spans="1:10" s="3" customFormat="1" ht="11.25" x14ac:dyDescent="0.2">
      <c r="A13" s="82" t="s">
        <v>119</v>
      </c>
      <c r="B13" s="29">
        <v>41598</v>
      </c>
      <c r="C13" s="29" t="s">
        <v>12</v>
      </c>
      <c r="D13" s="35" t="s">
        <v>106</v>
      </c>
      <c r="E13" s="22" t="s">
        <v>17</v>
      </c>
      <c r="F13" s="33">
        <f>'Memória de Cálculo '!F11</f>
        <v>1</v>
      </c>
      <c r="G13" s="37">
        <v>1338.59</v>
      </c>
      <c r="H13" s="38">
        <f t="shared" si="0"/>
        <v>1712.458187</v>
      </c>
      <c r="I13" s="83">
        <f t="shared" si="1"/>
        <v>1712.458187</v>
      </c>
      <c r="J13" s="74"/>
    </row>
    <row r="14" spans="1:10" s="3" customFormat="1" ht="22.5" x14ac:dyDescent="0.2">
      <c r="A14" s="82" t="s">
        <v>120</v>
      </c>
      <c r="B14" s="29">
        <v>93582</v>
      </c>
      <c r="C14" s="29" t="s">
        <v>12</v>
      </c>
      <c r="D14" s="35" t="s">
        <v>107</v>
      </c>
      <c r="E14" s="22" t="s">
        <v>6</v>
      </c>
      <c r="F14" s="33">
        <f>'Memória de Cálculo '!F13</f>
        <v>18</v>
      </c>
      <c r="G14" s="37">
        <v>193.9</v>
      </c>
      <c r="H14" s="38">
        <f t="shared" si="0"/>
        <v>248.05627000000004</v>
      </c>
      <c r="I14" s="83">
        <f t="shared" si="1"/>
        <v>4465.0128600000007</v>
      </c>
      <c r="J14" s="74"/>
    </row>
    <row r="15" spans="1:10" s="3" customFormat="1" ht="22.5" x14ac:dyDescent="0.2">
      <c r="A15" s="82" t="s">
        <v>121</v>
      </c>
      <c r="B15" s="29">
        <v>93207</v>
      </c>
      <c r="C15" s="29" t="s">
        <v>12</v>
      </c>
      <c r="D15" s="35" t="s">
        <v>108</v>
      </c>
      <c r="E15" s="22" t="s">
        <v>6</v>
      </c>
      <c r="F15" s="33">
        <f>'Memória de Cálculo '!F14</f>
        <v>9</v>
      </c>
      <c r="G15" s="37">
        <v>727.54</v>
      </c>
      <c r="H15" s="38">
        <f t="shared" si="0"/>
        <v>930.74192200000005</v>
      </c>
      <c r="I15" s="83">
        <f t="shared" si="1"/>
        <v>8376.6772980000005</v>
      </c>
      <c r="J15" s="74"/>
    </row>
    <row r="16" spans="1:10" s="125" customFormat="1" ht="12" x14ac:dyDescent="0.2">
      <c r="A16" s="121">
        <v>2</v>
      </c>
      <c r="B16" s="122"/>
      <c r="C16" s="122"/>
      <c r="D16" s="121" t="s">
        <v>84</v>
      </c>
      <c r="E16" s="123"/>
      <c r="F16" s="124"/>
      <c r="G16" s="124"/>
      <c r="H16" s="124"/>
      <c r="I16" s="214">
        <f>I17+I19+I25+I28</f>
        <v>67157.205790819527</v>
      </c>
      <c r="J16" s="336"/>
    </row>
    <row r="17" spans="1:10" s="3" customFormat="1" ht="15" customHeight="1" x14ac:dyDescent="0.2">
      <c r="A17" s="80" t="s">
        <v>42</v>
      </c>
      <c r="B17" s="39"/>
      <c r="C17" s="39"/>
      <c r="D17" s="36" t="s">
        <v>40</v>
      </c>
      <c r="E17" s="56"/>
      <c r="F17" s="40"/>
      <c r="G17" s="41"/>
      <c r="H17" s="42"/>
      <c r="I17" s="85">
        <f>SUM(I18:I18)</f>
        <v>365.42526470999996</v>
      </c>
    </row>
    <row r="18" spans="1:10" s="3" customFormat="1" ht="11.25" x14ac:dyDescent="0.2">
      <c r="A18" s="84" t="s">
        <v>124</v>
      </c>
      <c r="B18" s="252">
        <v>79472</v>
      </c>
      <c r="C18" s="252" t="s">
        <v>12</v>
      </c>
      <c r="D18" s="184" t="s">
        <v>180</v>
      </c>
      <c r="E18" s="34" t="s">
        <v>6</v>
      </c>
      <c r="F18" s="33">
        <f>'Memória de Cálculo '!F17</f>
        <v>664.29</v>
      </c>
      <c r="G18" s="37">
        <v>0.43</v>
      </c>
      <c r="H18" s="38">
        <f t="shared" ref="H18:H127" si="2">G18*($F$2+1)</f>
        <v>0.550099</v>
      </c>
      <c r="I18" s="83">
        <f t="shared" ref="I18:I26" si="3">F18*H18</f>
        <v>365.42526470999996</v>
      </c>
    </row>
    <row r="19" spans="1:10" s="3" customFormat="1" ht="11.25" x14ac:dyDescent="0.2">
      <c r="A19" s="86" t="s">
        <v>43</v>
      </c>
      <c r="B19" s="39"/>
      <c r="C19" s="39"/>
      <c r="D19" s="36" t="s">
        <v>90</v>
      </c>
      <c r="E19" s="56"/>
      <c r="F19" s="40"/>
      <c r="G19" s="41"/>
      <c r="H19" s="42"/>
      <c r="I19" s="85">
        <f>SUM(I20:I24)</f>
        <v>16725.846889108499</v>
      </c>
      <c r="J19" s="14"/>
    </row>
    <row r="20" spans="1:10" s="3" customFormat="1" ht="22.5" x14ac:dyDescent="0.2">
      <c r="A20" s="84" t="s">
        <v>125</v>
      </c>
      <c r="B20" s="252">
        <v>93358</v>
      </c>
      <c r="C20" s="252" t="s">
        <v>12</v>
      </c>
      <c r="D20" s="313" t="s">
        <v>68</v>
      </c>
      <c r="E20" s="34" t="s">
        <v>7</v>
      </c>
      <c r="F20" s="33">
        <f>'Memória de Cálculo '!F19</f>
        <v>47.032499999999999</v>
      </c>
      <c r="G20" s="37">
        <v>51.23</v>
      </c>
      <c r="H20" s="38">
        <f t="shared" si="2"/>
        <v>65.538539</v>
      </c>
      <c r="I20" s="83">
        <f t="shared" si="3"/>
        <v>3082.4413355174997</v>
      </c>
    </row>
    <row r="21" spans="1:10" s="3" customFormat="1" ht="11.25" x14ac:dyDescent="0.2">
      <c r="A21" s="84" t="s">
        <v>126</v>
      </c>
      <c r="B21" s="252">
        <v>83665</v>
      </c>
      <c r="C21" s="252" t="s">
        <v>12</v>
      </c>
      <c r="D21" s="35" t="s">
        <v>92</v>
      </c>
      <c r="E21" s="34" t="s">
        <v>6</v>
      </c>
      <c r="F21" s="33">
        <f>'Memória de Cálculo '!F20</f>
        <v>376.26</v>
      </c>
      <c r="G21" s="47">
        <v>7.92</v>
      </c>
      <c r="H21" s="38">
        <f t="shared" si="2"/>
        <v>10.132056</v>
      </c>
      <c r="I21" s="83">
        <f t="shared" si="3"/>
        <v>3812.2873905599999</v>
      </c>
      <c r="J21" s="14"/>
    </row>
    <row r="22" spans="1:10" s="3" customFormat="1" ht="11.25" x14ac:dyDescent="0.2">
      <c r="A22" s="84" t="s">
        <v>127</v>
      </c>
      <c r="B22" s="252">
        <v>83668</v>
      </c>
      <c r="C22" s="252" t="s">
        <v>12</v>
      </c>
      <c r="D22" s="53" t="s">
        <v>93</v>
      </c>
      <c r="E22" s="34" t="s">
        <v>7</v>
      </c>
      <c r="F22" s="33">
        <f>'Memória de Cálculo '!F21</f>
        <v>47.032499999999999</v>
      </c>
      <c r="G22" s="47">
        <v>107.28</v>
      </c>
      <c r="H22" s="38">
        <f t="shared" ref="H22:H24" si="4">G22*($F$2+1)</f>
        <v>137.24330400000002</v>
      </c>
      <c r="I22" s="83">
        <f t="shared" ref="I22:I24" si="5">F22*H22</f>
        <v>6454.8956953800007</v>
      </c>
      <c r="J22" s="14"/>
    </row>
    <row r="23" spans="1:10" s="3" customFormat="1" ht="11.25" x14ac:dyDescent="0.2">
      <c r="A23" s="84" t="s">
        <v>128</v>
      </c>
      <c r="B23" s="252">
        <v>2</v>
      </c>
      <c r="C23" s="252" t="s">
        <v>76</v>
      </c>
      <c r="D23" s="185" t="s">
        <v>94</v>
      </c>
      <c r="E23" s="34" t="s">
        <v>122</v>
      </c>
      <c r="F23" s="33">
        <f>'Memória de Cálculo '!F22</f>
        <v>188.13</v>
      </c>
      <c r="G23" s="47">
        <f>Composições!H13</f>
        <v>12.617000000000001</v>
      </c>
      <c r="H23" s="38">
        <f t="shared" si="4"/>
        <v>16.140928100000004</v>
      </c>
      <c r="I23" s="83">
        <f t="shared" si="5"/>
        <v>3036.5928034530007</v>
      </c>
      <c r="J23" s="14"/>
    </row>
    <row r="24" spans="1:10" s="3" customFormat="1" ht="11.25" x14ac:dyDescent="0.2">
      <c r="A24" s="84" t="s">
        <v>129</v>
      </c>
      <c r="B24" s="252">
        <v>4</v>
      </c>
      <c r="C24" s="252" t="s">
        <v>76</v>
      </c>
      <c r="D24" s="185" t="s">
        <v>95</v>
      </c>
      <c r="E24" s="34" t="s">
        <v>17</v>
      </c>
      <c r="F24" s="33">
        <f>'Memória de Cálculo '!F23</f>
        <v>2</v>
      </c>
      <c r="G24" s="47">
        <f>Composições!H23</f>
        <v>132.74043</v>
      </c>
      <c r="H24" s="38">
        <f t="shared" si="4"/>
        <v>169.81483209900003</v>
      </c>
      <c r="I24" s="83">
        <f t="shared" si="5"/>
        <v>339.62966419800006</v>
      </c>
      <c r="J24" s="14"/>
    </row>
    <row r="25" spans="1:10" s="3" customFormat="1" ht="11.25" x14ac:dyDescent="0.2">
      <c r="A25" s="86" t="s">
        <v>44</v>
      </c>
      <c r="B25" s="39"/>
      <c r="C25" s="39"/>
      <c r="D25" s="36" t="s">
        <v>91</v>
      </c>
      <c r="E25" s="56"/>
      <c r="F25" s="40"/>
      <c r="G25" s="41"/>
      <c r="H25" s="42"/>
      <c r="I25" s="85">
        <f>SUM(I26:I27)</f>
        <v>13793.5047096</v>
      </c>
    </row>
    <row r="26" spans="1:10" s="3" customFormat="1" ht="11.25" x14ac:dyDescent="0.2">
      <c r="A26" s="84" t="s">
        <v>375</v>
      </c>
      <c r="B26" s="252">
        <v>98504</v>
      </c>
      <c r="C26" s="252" t="s">
        <v>12</v>
      </c>
      <c r="D26" s="164" t="s">
        <v>96</v>
      </c>
      <c r="E26" s="34" t="s">
        <v>6</v>
      </c>
      <c r="F26" s="33">
        <f>'Memória de Cálculo '!F25</f>
        <v>648</v>
      </c>
      <c r="G26" s="37">
        <v>8.35</v>
      </c>
      <c r="H26" s="38">
        <f t="shared" si="2"/>
        <v>10.682155</v>
      </c>
      <c r="I26" s="104">
        <f t="shared" si="3"/>
        <v>6922.0364399999999</v>
      </c>
      <c r="J26" s="14"/>
    </row>
    <row r="27" spans="1:10" s="3" customFormat="1" ht="22.5" x14ac:dyDescent="0.2">
      <c r="A27" s="84" t="s">
        <v>376</v>
      </c>
      <c r="B27" s="252">
        <v>3</v>
      </c>
      <c r="C27" s="252" t="s">
        <v>76</v>
      </c>
      <c r="D27" s="53" t="str">
        <f>Composições!D17</f>
        <v>Regularização, nivelamento e espalhamento da mistura fértil orgânica - Incluindo adubo - altura = 10cm</v>
      </c>
      <c r="E27" s="34" t="s">
        <v>6</v>
      </c>
      <c r="F27" s="33">
        <f>'Memória de Cálculo '!F26</f>
        <v>648</v>
      </c>
      <c r="G27" s="37">
        <f>Composições!H17</f>
        <v>8.2889999999999997</v>
      </c>
      <c r="H27" s="38">
        <f t="shared" ref="H27" si="6">G27*($F$2+1)</f>
        <v>10.6041177</v>
      </c>
      <c r="I27" s="104">
        <f t="shared" ref="I27" si="7">F27*H27</f>
        <v>6871.4682696</v>
      </c>
      <c r="J27" s="14"/>
    </row>
    <row r="28" spans="1:10" s="3" customFormat="1" ht="11.25" x14ac:dyDescent="0.2">
      <c r="A28" s="86" t="s">
        <v>45</v>
      </c>
      <c r="B28" s="39"/>
      <c r="C28" s="39"/>
      <c r="D28" s="36" t="s">
        <v>100</v>
      </c>
      <c r="E28" s="56"/>
      <c r="F28" s="40"/>
      <c r="G28" s="43"/>
      <c r="H28" s="42"/>
      <c r="I28" s="85">
        <f>SUM(I29:I31)</f>
        <v>36272.42892740103</v>
      </c>
    </row>
    <row r="29" spans="1:10" s="3" customFormat="1" ht="33.75" x14ac:dyDescent="0.2">
      <c r="A29" s="314" t="s">
        <v>130</v>
      </c>
      <c r="B29" s="313">
        <f>Composições!B7</f>
        <v>1</v>
      </c>
      <c r="C29" s="313" t="str">
        <f>Composições!C7</f>
        <v>COMP</v>
      </c>
      <c r="D29" s="53" t="str">
        <f>Composições!D7</f>
        <v>ALAMBRADO PARA QUADRA POLIESPORTIVA, ESTRUTURADO POR TUBOS DE ACO GALVANIZADO, COM COSTURA, DIN 2440, DIAMETRO 2", COM TELA DE ARAME GALVANIZADO, FIO 14 BWG E MALHA QUADRADA 5X5CM</v>
      </c>
      <c r="E29" s="315" t="s">
        <v>6</v>
      </c>
      <c r="F29" s="33">
        <f>'Memória de Cálculo '!F28</f>
        <v>389.87999999999994</v>
      </c>
      <c r="G29" s="47">
        <f>Composições!H7</f>
        <v>64.709309999999988</v>
      </c>
      <c r="H29" s="38">
        <f t="shared" ref="H29:H31" si="8">G29*($F$2+1)</f>
        <v>82.782620282999986</v>
      </c>
      <c r="I29" s="213">
        <f>F29*H29</f>
        <v>32275.287995936029</v>
      </c>
      <c r="J29" s="14"/>
    </row>
    <row r="30" spans="1:10" s="3" customFormat="1" ht="22.5" x14ac:dyDescent="0.2">
      <c r="A30" s="84" t="s">
        <v>131</v>
      </c>
      <c r="B30" s="29">
        <v>10069</v>
      </c>
      <c r="C30" s="29" t="s">
        <v>23</v>
      </c>
      <c r="D30" s="316" t="s">
        <v>698</v>
      </c>
      <c r="E30" s="22" t="s">
        <v>132</v>
      </c>
      <c r="F30" s="33">
        <f>'Memória de Cálculo '!F30</f>
        <v>1</v>
      </c>
      <c r="G30" s="37">
        <v>2386.66</v>
      </c>
      <c r="H30" s="38">
        <f t="shared" si="8"/>
        <v>3053.2541380000002</v>
      </c>
      <c r="I30" s="213">
        <f t="shared" ref="I30:I31" si="9">F30*H30</f>
        <v>3053.2541380000002</v>
      </c>
      <c r="J30" s="14"/>
    </row>
    <row r="31" spans="1:10" s="3" customFormat="1" ht="22.5" x14ac:dyDescent="0.2">
      <c r="A31" s="84" t="s">
        <v>377</v>
      </c>
      <c r="B31" s="29">
        <v>10000</v>
      </c>
      <c r="C31" s="29" t="s">
        <v>23</v>
      </c>
      <c r="D31" s="155" t="s">
        <v>181</v>
      </c>
      <c r="E31" s="34" t="s">
        <v>6</v>
      </c>
      <c r="F31" s="33">
        <f>'Memória de Cálculo '!F31</f>
        <v>2.2050000000000001</v>
      </c>
      <c r="G31" s="37">
        <v>334.61</v>
      </c>
      <c r="H31" s="38">
        <f t="shared" si="8"/>
        <v>428.06657300000006</v>
      </c>
      <c r="I31" s="213">
        <f t="shared" si="9"/>
        <v>943.88679346500021</v>
      </c>
    </row>
    <row r="32" spans="1:10" s="125" customFormat="1" ht="12" x14ac:dyDescent="0.2">
      <c r="A32" s="121">
        <v>3</v>
      </c>
      <c r="B32" s="122"/>
      <c r="C32" s="122"/>
      <c r="D32" s="121" t="s">
        <v>85</v>
      </c>
      <c r="E32" s="123"/>
      <c r="F32" s="124"/>
      <c r="G32" s="124"/>
      <c r="H32" s="124"/>
      <c r="I32" s="214">
        <f>I33+I36</f>
        <v>17121.483943985299</v>
      </c>
      <c r="J32" s="336"/>
    </row>
    <row r="33" spans="1:10" s="3" customFormat="1" ht="15" customHeight="1" x14ac:dyDescent="0.2">
      <c r="A33" s="80" t="s">
        <v>35</v>
      </c>
      <c r="B33" s="39"/>
      <c r="C33" s="39"/>
      <c r="D33" s="36" t="s">
        <v>40</v>
      </c>
      <c r="E33" s="56"/>
      <c r="F33" s="40"/>
      <c r="G33" s="41"/>
      <c r="H33" s="42"/>
      <c r="I33" s="85">
        <f>SUM(I34:I35)</f>
        <v>3839.2628382900011</v>
      </c>
    </row>
    <row r="34" spans="1:10" s="3" customFormat="1" ht="22.5" x14ac:dyDescent="0.2">
      <c r="A34" s="84" t="s">
        <v>60</v>
      </c>
      <c r="B34" s="252">
        <v>83338</v>
      </c>
      <c r="C34" s="252" t="s">
        <v>12</v>
      </c>
      <c r="D34" s="164" t="s">
        <v>190</v>
      </c>
      <c r="E34" s="34" t="s">
        <v>7</v>
      </c>
      <c r="F34" s="33">
        <f>'Memória de Cálculo '!F34</f>
        <v>46.782000000000004</v>
      </c>
      <c r="G34" s="37">
        <v>2.15</v>
      </c>
      <c r="H34" s="38">
        <f t="shared" ref="H34:H35" si="10">G34*($F$2+1)</f>
        <v>2.7504949999999999</v>
      </c>
      <c r="I34" s="83">
        <f t="shared" ref="I34:I35" si="11">F34*H34</f>
        <v>128.67365709000001</v>
      </c>
    </row>
    <row r="35" spans="1:10" s="3" customFormat="1" ht="11.25" x14ac:dyDescent="0.2">
      <c r="A35" s="82" t="s">
        <v>61</v>
      </c>
      <c r="B35" s="29">
        <v>366</v>
      </c>
      <c r="C35" s="252" t="s">
        <v>12</v>
      </c>
      <c r="D35" s="35" t="s">
        <v>187</v>
      </c>
      <c r="E35" s="34" t="s">
        <v>7</v>
      </c>
      <c r="F35" s="33">
        <f>'Memória de Cálculo '!F35</f>
        <v>46.782000000000004</v>
      </c>
      <c r="G35" s="37">
        <v>62</v>
      </c>
      <c r="H35" s="38">
        <f t="shared" si="10"/>
        <v>79.316600000000008</v>
      </c>
      <c r="I35" s="83">
        <f t="shared" si="11"/>
        <v>3710.5891812000009</v>
      </c>
    </row>
    <row r="36" spans="1:10" s="3" customFormat="1" ht="11.25" x14ac:dyDescent="0.2">
      <c r="A36" s="80" t="s">
        <v>36</v>
      </c>
      <c r="B36" s="39"/>
      <c r="C36" s="39"/>
      <c r="D36" s="46" t="s">
        <v>100</v>
      </c>
      <c r="E36" s="56"/>
      <c r="F36" s="40"/>
      <c r="G36" s="41"/>
      <c r="H36" s="42"/>
      <c r="I36" s="85">
        <f>SUM(I37:I40)</f>
        <v>13282.221105695298</v>
      </c>
      <c r="J36" s="14"/>
    </row>
    <row r="37" spans="1:10" s="3" customFormat="1" ht="33.75" x14ac:dyDescent="0.2">
      <c r="A37" s="84" t="s">
        <v>62</v>
      </c>
      <c r="B37" s="252">
        <f>Composições!B7</f>
        <v>1</v>
      </c>
      <c r="C37" s="252" t="str">
        <f>Composições!C7</f>
        <v>COMP</v>
      </c>
      <c r="D37" s="252" t="str">
        <f>Composições!D7</f>
        <v>ALAMBRADO PARA QUADRA POLIESPORTIVA, ESTRUTURADO POR TUBOS DE ACO GALVANIZADO, COM COSTURA, DIN 2440, DIAMETRO 2", COM TELA DE ARAME GALVANIZADO, FIO 14 BWG E MALHA QUADRADA 5X5CM</v>
      </c>
      <c r="E37" s="34" t="s">
        <v>6</v>
      </c>
      <c r="F37" s="33">
        <f>'Memória de Cálculo '!F37</f>
        <v>132.1</v>
      </c>
      <c r="G37" s="37">
        <f>Composições!H7</f>
        <v>64.709309999999988</v>
      </c>
      <c r="H37" s="38">
        <f t="shared" ref="H37" si="12">G37*($F$2+1)</f>
        <v>82.782620282999986</v>
      </c>
      <c r="I37" s="83">
        <f t="shared" ref="I37" si="13">F37*H37</f>
        <v>10935.584139384298</v>
      </c>
      <c r="J37" s="14"/>
    </row>
    <row r="38" spans="1:10" s="3" customFormat="1" ht="11.25" x14ac:dyDescent="0.2">
      <c r="A38" s="84" t="s">
        <v>265</v>
      </c>
      <c r="B38" s="252">
        <v>2429</v>
      </c>
      <c r="C38" s="29" t="s">
        <v>23</v>
      </c>
      <c r="D38" s="53" t="s">
        <v>182</v>
      </c>
      <c r="E38" s="34" t="s">
        <v>17</v>
      </c>
      <c r="F38" s="33">
        <f>'Memória de Cálculo '!F38</f>
        <v>1</v>
      </c>
      <c r="G38" s="37">
        <v>222.72</v>
      </c>
      <c r="H38" s="38">
        <f t="shared" ref="H38:H40" si="14">G38*($F$2+1)</f>
        <v>284.92569600000002</v>
      </c>
      <c r="I38" s="83">
        <f t="shared" ref="I38:I40" si="15">F38*H38</f>
        <v>284.92569600000002</v>
      </c>
      <c r="J38" s="14"/>
    </row>
    <row r="39" spans="1:10" s="3" customFormat="1" ht="11.25" x14ac:dyDescent="0.2">
      <c r="A39" s="84"/>
      <c r="B39" s="252">
        <v>1877</v>
      </c>
      <c r="C39" s="29" t="s">
        <v>23</v>
      </c>
      <c r="D39" s="316" t="s">
        <v>485</v>
      </c>
      <c r="E39" s="34" t="s">
        <v>132</v>
      </c>
      <c r="F39" s="33">
        <v>1</v>
      </c>
      <c r="G39" s="37">
        <v>906.57</v>
      </c>
      <c r="H39" s="38">
        <f t="shared" si="14"/>
        <v>1159.7750010000002</v>
      </c>
      <c r="I39" s="83">
        <f t="shared" si="15"/>
        <v>1159.7750010000002</v>
      </c>
      <c r="J39" s="14"/>
    </row>
    <row r="40" spans="1:10" s="3" customFormat="1" ht="22.5" x14ac:dyDescent="0.2">
      <c r="A40" s="84" t="s">
        <v>266</v>
      </c>
      <c r="B40" s="29">
        <v>10000</v>
      </c>
      <c r="C40" s="29" t="s">
        <v>23</v>
      </c>
      <c r="D40" s="155" t="s">
        <v>181</v>
      </c>
      <c r="E40" s="34" t="s">
        <v>6</v>
      </c>
      <c r="F40" s="33">
        <f>'Memória de Cálculo '!F40</f>
        <v>2.1069999999999998</v>
      </c>
      <c r="G40" s="37">
        <v>334.61</v>
      </c>
      <c r="H40" s="38">
        <f t="shared" si="14"/>
        <v>428.06657300000006</v>
      </c>
      <c r="I40" s="83">
        <f t="shared" si="15"/>
        <v>901.93626931100005</v>
      </c>
      <c r="J40" s="336"/>
    </row>
    <row r="41" spans="1:10" s="125" customFormat="1" ht="12" x14ac:dyDescent="0.2">
      <c r="A41" s="121">
        <v>4</v>
      </c>
      <c r="B41" s="122"/>
      <c r="C41" s="122"/>
      <c r="D41" s="121" t="s">
        <v>110</v>
      </c>
      <c r="E41" s="123"/>
      <c r="F41" s="124"/>
      <c r="G41" s="124"/>
      <c r="H41" s="124"/>
      <c r="I41" s="214">
        <f>I42+I44+I50+I55+I57+I65+I69+I71+I79+I81</f>
        <v>723916.68940853025</v>
      </c>
      <c r="J41" s="337"/>
    </row>
    <row r="42" spans="1:10" s="3" customFormat="1" ht="15" customHeight="1" x14ac:dyDescent="0.2">
      <c r="A42" s="80" t="s">
        <v>27</v>
      </c>
      <c r="B42" s="39"/>
      <c r="C42" s="39"/>
      <c r="D42" s="36" t="s">
        <v>40</v>
      </c>
      <c r="E42" s="56"/>
      <c r="F42" s="40"/>
      <c r="G42" s="41"/>
      <c r="H42" s="42"/>
      <c r="I42" s="85">
        <f>SUM(I43:I43)</f>
        <v>247.54454999999999</v>
      </c>
    </row>
    <row r="43" spans="1:10" s="3" customFormat="1" ht="22.5" x14ac:dyDescent="0.2">
      <c r="A43" s="84" t="s">
        <v>133</v>
      </c>
      <c r="B43" s="252">
        <v>83338</v>
      </c>
      <c r="C43" s="252" t="s">
        <v>12</v>
      </c>
      <c r="D43" s="164" t="s">
        <v>190</v>
      </c>
      <c r="E43" s="34" t="s">
        <v>7</v>
      </c>
      <c r="F43" s="33">
        <f>'Memória de Cálculo '!F44</f>
        <v>90</v>
      </c>
      <c r="G43" s="37">
        <v>2.15</v>
      </c>
      <c r="H43" s="38">
        <f t="shared" ref="H43" si="16">G43*($F$2+1)</f>
        <v>2.7504949999999999</v>
      </c>
      <c r="I43" s="83">
        <f t="shared" ref="I43" si="17">F43*H43</f>
        <v>247.54454999999999</v>
      </c>
    </row>
    <row r="44" spans="1:10" s="3" customFormat="1" ht="15" customHeight="1" x14ac:dyDescent="0.2">
      <c r="A44" s="80" t="s">
        <v>135</v>
      </c>
      <c r="B44" s="39"/>
      <c r="C44" s="39"/>
      <c r="D44" s="36" t="s">
        <v>31</v>
      </c>
      <c r="E44" s="56"/>
      <c r="F44" s="40"/>
      <c r="G44" s="41"/>
      <c r="H44" s="42"/>
      <c r="I44" s="85">
        <f>SUM(I45:I49)</f>
        <v>260676.43616574118</v>
      </c>
    </row>
    <row r="45" spans="1:10" s="3" customFormat="1" ht="33.75" x14ac:dyDescent="0.2">
      <c r="A45" s="84" t="s">
        <v>134</v>
      </c>
      <c r="B45" s="252">
        <v>34493</v>
      </c>
      <c r="C45" s="252" t="s">
        <v>12</v>
      </c>
      <c r="D45" s="313" t="s">
        <v>484</v>
      </c>
      <c r="E45" s="34" t="s">
        <v>7</v>
      </c>
      <c r="F45" s="33">
        <f>'Memória de Cálculo '!F46</f>
        <v>326.32</v>
      </c>
      <c r="G45" s="37">
        <v>258.95999999999998</v>
      </c>
      <c r="H45" s="38">
        <f t="shared" ref="H45:H46" si="18">G45*($F$2+1)</f>
        <v>331.28752800000001</v>
      </c>
      <c r="I45" s="83">
        <f t="shared" ref="I45:I46" si="19">F45*H45</f>
        <v>108105.74613696001</v>
      </c>
      <c r="J45" s="14"/>
    </row>
    <row r="46" spans="1:10" s="3" customFormat="1" ht="22.5" x14ac:dyDescent="0.2">
      <c r="A46" s="84" t="s">
        <v>136</v>
      </c>
      <c r="B46" s="252">
        <v>92874</v>
      </c>
      <c r="C46" s="252" t="s">
        <v>12</v>
      </c>
      <c r="D46" s="313" t="s">
        <v>189</v>
      </c>
      <c r="E46" s="34" t="s">
        <v>7</v>
      </c>
      <c r="F46" s="33">
        <f>'Memória de Cálculo '!F47</f>
        <v>326.32</v>
      </c>
      <c r="G46" s="47">
        <v>22.11</v>
      </c>
      <c r="H46" s="38">
        <f t="shared" si="18"/>
        <v>28.285323000000002</v>
      </c>
      <c r="I46" s="83">
        <f t="shared" si="19"/>
        <v>9230.0666013600003</v>
      </c>
      <c r="J46" s="14"/>
    </row>
    <row r="47" spans="1:10" s="3" customFormat="1" ht="22.5" x14ac:dyDescent="0.2">
      <c r="A47" s="84" t="s">
        <v>137</v>
      </c>
      <c r="B47" s="252">
        <v>11640</v>
      </c>
      <c r="C47" s="252" t="s">
        <v>23</v>
      </c>
      <c r="D47" s="313" t="s">
        <v>486</v>
      </c>
      <c r="E47" s="34" t="s">
        <v>6</v>
      </c>
      <c r="F47" s="33">
        <f>'Memória de Cálculo '!F48</f>
        <v>468.94</v>
      </c>
      <c r="G47" s="47">
        <v>79.459999999999994</v>
      </c>
      <c r="H47" s="38">
        <f t="shared" ref="H47:H49" si="20">G47*($F$2+1)</f>
        <v>101.653178</v>
      </c>
      <c r="I47" s="83">
        <f t="shared" ref="I47:I49" si="21">F47*H47</f>
        <v>47669.241291319995</v>
      </c>
      <c r="J47" s="14"/>
    </row>
    <row r="48" spans="1:10" s="3" customFormat="1" ht="11.25" x14ac:dyDescent="0.2">
      <c r="A48" s="84" t="s">
        <v>138</v>
      </c>
      <c r="B48" s="252">
        <f>Composições!B31</f>
        <v>6</v>
      </c>
      <c r="C48" s="252" t="s">
        <v>76</v>
      </c>
      <c r="D48" s="184" t="str">
        <f>Composições!D31</f>
        <v>ARMAÇÃO UTILIZANDO AÇO CA-50 DE 12,5 MM - MONTAGEM. AF_12/2015</v>
      </c>
      <c r="E48" s="34" t="s">
        <v>184</v>
      </c>
      <c r="F48" s="33">
        <f>'Memória de Cálculo '!F49</f>
        <v>1034</v>
      </c>
      <c r="G48" s="47">
        <f>Composições!H31</f>
        <v>6.2892260000000002</v>
      </c>
      <c r="H48" s="38">
        <f t="shared" si="20"/>
        <v>8.0458068218000012</v>
      </c>
      <c r="I48" s="83">
        <f t="shared" si="21"/>
        <v>8319.3642537412015</v>
      </c>
      <c r="J48" s="14"/>
    </row>
    <row r="49" spans="1:10" s="3" customFormat="1" ht="11.25" x14ac:dyDescent="0.2">
      <c r="A49" s="84" t="s">
        <v>139</v>
      </c>
      <c r="B49" s="252">
        <v>7</v>
      </c>
      <c r="C49" s="252" t="s">
        <v>76</v>
      </c>
      <c r="D49" s="184" t="str">
        <f>Composições!D37</f>
        <v>ARMAÇÃO UTILIZANDO AÇO CA-50 DE 6,3 A 10 MM - MONTAGEM. AF_12/2015</v>
      </c>
      <c r="E49" s="34" t="s">
        <v>184</v>
      </c>
      <c r="F49" s="33">
        <f>'Memória de Cálculo '!F50</f>
        <v>10200</v>
      </c>
      <c r="G49" s="47">
        <f>Composições!H37</f>
        <v>6.6942260000000005</v>
      </c>
      <c r="H49" s="38">
        <f t="shared" si="20"/>
        <v>8.5639233218000008</v>
      </c>
      <c r="I49" s="83">
        <f t="shared" si="21"/>
        <v>87352.017882360014</v>
      </c>
      <c r="J49" s="14"/>
    </row>
    <row r="50" spans="1:10" s="3" customFormat="1" ht="11.25" x14ac:dyDescent="0.2">
      <c r="A50" s="80" t="s">
        <v>140</v>
      </c>
      <c r="B50" s="39"/>
      <c r="C50" s="39"/>
      <c r="D50" s="46" t="s">
        <v>115</v>
      </c>
      <c r="E50" s="56"/>
      <c r="F50" s="40"/>
      <c r="G50" s="41"/>
      <c r="H50" s="42"/>
      <c r="I50" s="85">
        <f>SUM(I51:I54)</f>
        <v>65659.640198944006</v>
      </c>
      <c r="J50" s="14"/>
    </row>
    <row r="51" spans="1:10" s="3" customFormat="1" ht="35.25" customHeight="1" x14ac:dyDescent="0.2">
      <c r="A51" s="84" t="s">
        <v>141</v>
      </c>
      <c r="B51" s="252">
        <v>87507</v>
      </c>
      <c r="C51" s="252" t="s">
        <v>12</v>
      </c>
      <c r="D51" s="21" t="s">
        <v>101</v>
      </c>
      <c r="E51" s="34" t="s">
        <v>6</v>
      </c>
      <c r="F51" s="33">
        <f>'Memória de Cálculo '!F53</f>
        <v>251.26599999999999</v>
      </c>
      <c r="G51" s="37">
        <v>48.47</v>
      </c>
      <c r="H51" s="38">
        <f t="shared" ref="H51" si="22">G51*($F$2+1)</f>
        <v>62.007671000000002</v>
      </c>
      <c r="I51" s="83">
        <f t="shared" ref="I51" si="23">F51*H51</f>
        <v>15580.419461486001</v>
      </c>
      <c r="J51" s="14"/>
    </row>
    <row r="52" spans="1:10" s="3" customFormat="1" ht="11.25" x14ac:dyDescent="0.2">
      <c r="A52" s="84" t="s">
        <v>146</v>
      </c>
      <c r="B52" s="252">
        <v>40780</v>
      </c>
      <c r="C52" s="252" t="s">
        <v>12</v>
      </c>
      <c r="D52" s="155" t="s">
        <v>200</v>
      </c>
      <c r="E52" s="34" t="s">
        <v>6</v>
      </c>
      <c r="F52" s="33">
        <f>'Memória de Cálculo '!F57</f>
        <v>600.5</v>
      </c>
      <c r="G52" s="37">
        <v>7.87</v>
      </c>
      <c r="H52" s="38">
        <f t="shared" ref="H52" si="24">G52*($F$2+1)</f>
        <v>10.068091000000001</v>
      </c>
      <c r="I52" s="83">
        <f t="shared" ref="I52" si="25">F52*H52</f>
        <v>6045.8886455000002</v>
      </c>
      <c r="J52" s="14"/>
    </row>
    <row r="53" spans="1:10" s="3" customFormat="1" ht="33.75" x14ac:dyDescent="0.2">
      <c r="A53" s="84" t="s">
        <v>147</v>
      </c>
      <c r="B53" s="252">
        <v>87893</v>
      </c>
      <c r="C53" s="252" t="s">
        <v>12</v>
      </c>
      <c r="D53" s="316" t="s">
        <v>155</v>
      </c>
      <c r="E53" s="34" t="s">
        <v>6</v>
      </c>
      <c r="F53" s="33">
        <f>'Memória de Cálculo '!F58+'Memória de Cálculo '!F59</f>
        <v>851.76599999999996</v>
      </c>
      <c r="G53" s="37">
        <v>4.53</v>
      </c>
      <c r="H53" s="38">
        <f t="shared" ref="H53:H54" si="26">G53*($F$2+1)</f>
        <v>5.7952290000000009</v>
      </c>
      <c r="I53" s="83">
        <f t="shared" ref="I53:I54" si="27">F53*H53</f>
        <v>4936.1790244140002</v>
      </c>
      <c r="J53" s="14"/>
    </row>
    <row r="54" spans="1:10" s="3" customFormat="1" ht="33.75" x14ac:dyDescent="0.2">
      <c r="A54" s="84" t="s">
        <v>201</v>
      </c>
      <c r="B54" s="252">
        <v>87775</v>
      </c>
      <c r="C54" s="252" t="s">
        <v>12</v>
      </c>
      <c r="D54" s="318" t="s">
        <v>156</v>
      </c>
      <c r="E54" s="34" t="s">
        <v>6</v>
      </c>
      <c r="F54" s="33">
        <f>'Memória de Cálculo '!F60+'Memória de Cálculo '!F61</f>
        <v>851.76599999999996</v>
      </c>
      <c r="G54" s="37">
        <v>35.880000000000003</v>
      </c>
      <c r="H54" s="38">
        <f t="shared" si="26"/>
        <v>45.901284000000004</v>
      </c>
      <c r="I54" s="83">
        <f t="shared" si="27"/>
        <v>39097.153067544001</v>
      </c>
      <c r="J54" s="14"/>
    </row>
    <row r="55" spans="1:10" s="3" customFormat="1" ht="11.25" x14ac:dyDescent="0.2">
      <c r="A55" s="86" t="s">
        <v>142</v>
      </c>
      <c r="B55" s="39"/>
      <c r="C55" s="39"/>
      <c r="D55" s="36" t="s">
        <v>111</v>
      </c>
      <c r="E55" s="56"/>
      <c r="F55" s="40"/>
      <c r="G55" s="41"/>
      <c r="H55" s="42"/>
      <c r="I55" s="85">
        <f>SUM(I56:I56)</f>
        <v>64225.651771666009</v>
      </c>
      <c r="J55" s="14"/>
    </row>
    <row r="56" spans="1:10" s="3" customFormat="1" ht="22.5" x14ac:dyDescent="0.2">
      <c r="A56" s="84" t="s">
        <v>143</v>
      </c>
      <c r="B56" s="334">
        <f>Composições!B55</f>
        <v>10</v>
      </c>
      <c r="C56" s="334" t="str">
        <f>Composições!C55</f>
        <v>COMP</v>
      </c>
      <c r="D56" s="320" t="str">
        <f>Composições!D55</f>
        <v>IMPERMEABILIZAÇÃO DE SUPERFÍCIE COM MANTA ASFÁLTICA, UMA CAMADA, INCLUSIVE APLICAÇÃO DE PRIMER ASFÁLTICO, E=4MM.</v>
      </c>
      <c r="E56" s="34" t="s">
        <v>6</v>
      </c>
      <c r="F56" s="33">
        <f>'Memória de Cálculo '!F64</f>
        <v>600.5</v>
      </c>
      <c r="G56" s="37">
        <f>Composições!H55</f>
        <v>83.60324</v>
      </c>
      <c r="H56" s="38">
        <f t="shared" ref="H56" si="28">G56*($F$2+1)</f>
        <v>106.95362493200001</v>
      </c>
      <c r="I56" s="83">
        <f t="shared" ref="I56" si="29">F56*H56</f>
        <v>64225.651771666009</v>
      </c>
      <c r="J56" s="14"/>
    </row>
    <row r="57" spans="1:10" s="3" customFormat="1" ht="11.25" x14ac:dyDescent="0.2">
      <c r="A57" s="80" t="s">
        <v>144</v>
      </c>
      <c r="B57" s="39"/>
      <c r="C57" s="39"/>
      <c r="D57" s="36" t="s">
        <v>112</v>
      </c>
      <c r="E57" s="56"/>
      <c r="F57" s="40"/>
      <c r="G57" s="43"/>
      <c r="H57" s="42"/>
      <c r="I57" s="87">
        <f>SUM(I58:I63)</f>
        <v>101348.052579169</v>
      </c>
    </row>
    <row r="58" spans="1:10" s="3" customFormat="1" ht="33.75" x14ac:dyDescent="0.2">
      <c r="A58" s="84" t="s">
        <v>145</v>
      </c>
      <c r="B58" s="252">
        <v>4440</v>
      </c>
      <c r="C58" s="252" t="s">
        <v>23</v>
      </c>
      <c r="D58" s="335" t="s">
        <v>699</v>
      </c>
      <c r="E58" s="34" t="s">
        <v>6</v>
      </c>
      <c r="F58" s="33">
        <f>'Memória de Cálculo '!F68</f>
        <v>600.5</v>
      </c>
      <c r="G58" s="47">
        <v>47.84</v>
      </c>
      <c r="H58" s="38">
        <f t="shared" ref="H58:H63" si="30">G58*($F$2+1)</f>
        <v>61.201712000000008</v>
      </c>
      <c r="I58" s="213">
        <f>F58*H58</f>
        <v>36751.628056000001</v>
      </c>
    </row>
    <row r="59" spans="1:10" s="3" customFormat="1" ht="22.5" x14ac:dyDescent="0.2">
      <c r="A59" s="84" t="s">
        <v>148</v>
      </c>
      <c r="B59" s="252">
        <v>95240</v>
      </c>
      <c r="C59" s="252" t="s">
        <v>12</v>
      </c>
      <c r="D59" s="29" t="s">
        <v>202</v>
      </c>
      <c r="E59" s="34" t="s">
        <v>6</v>
      </c>
      <c r="F59" s="33">
        <f>'Memória de Cálculo '!F70</f>
        <v>312.56999999999994</v>
      </c>
      <c r="G59" s="47">
        <v>11.57</v>
      </c>
      <c r="H59" s="38">
        <f t="shared" ref="H59" si="31">G59*($F$2+1)</f>
        <v>14.801501000000002</v>
      </c>
      <c r="I59" s="213">
        <f>F59*H59</f>
        <v>4626.5051675699997</v>
      </c>
    </row>
    <row r="60" spans="1:10" s="3" customFormat="1" ht="33.75" x14ac:dyDescent="0.2">
      <c r="A60" s="84" t="s">
        <v>149</v>
      </c>
      <c r="B60" s="252">
        <v>87735</v>
      </c>
      <c r="C60" s="252" t="s">
        <v>12</v>
      </c>
      <c r="D60" s="162" t="s">
        <v>203</v>
      </c>
      <c r="E60" s="34" t="s">
        <v>6</v>
      </c>
      <c r="F60" s="33">
        <f>'Memória de Cálculo '!F71</f>
        <v>312.56999999999994</v>
      </c>
      <c r="G60" s="47">
        <v>30.26</v>
      </c>
      <c r="H60" s="38">
        <f t="shared" ref="H60" si="32">G60*($F$2+1)</f>
        <v>38.711618000000009</v>
      </c>
      <c r="I60" s="213">
        <f>F60*H60</f>
        <v>12100.09043826</v>
      </c>
      <c r="J60" s="14"/>
    </row>
    <row r="61" spans="1:10" s="3" customFormat="1" ht="33.75" x14ac:dyDescent="0.2">
      <c r="A61" s="84" t="s">
        <v>150</v>
      </c>
      <c r="B61" s="29">
        <v>8928</v>
      </c>
      <c r="C61" s="252" t="s">
        <v>23</v>
      </c>
      <c r="D61" s="29" t="s">
        <v>700</v>
      </c>
      <c r="E61" s="34" t="s">
        <v>6</v>
      </c>
      <c r="F61" s="33">
        <f>'Memória de Cálculo '!F72</f>
        <v>302.39999999999998</v>
      </c>
      <c r="G61" s="37">
        <v>59.51</v>
      </c>
      <c r="H61" s="38">
        <f t="shared" si="30"/>
        <v>76.131143000000009</v>
      </c>
      <c r="I61" s="213">
        <f t="shared" ref="I61:I63" si="33">F61*H61</f>
        <v>23022.057643200002</v>
      </c>
    </row>
    <row r="62" spans="1:10" s="3" customFormat="1" ht="33.75" x14ac:dyDescent="0.2">
      <c r="A62" s="84" t="s">
        <v>176</v>
      </c>
      <c r="B62" s="29">
        <v>10614</v>
      </c>
      <c r="C62" s="252" t="s">
        <v>23</v>
      </c>
      <c r="D62" s="29" t="s">
        <v>206</v>
      </c>
      <c r="E62" s="34" t="s">
        <v>122</v>
      </c>
      <c r="F62" s="33">
        <f>'Memória de Cálculo '!F74</f>
        <v>86</v>
      </c>
      <c r="G62" s="37">
        <v>157.19999999999999</v>
      </c>
      <c r="H62" s="38">
        <f t="shared" ref="H62" si="34">G62*($F$2+1)</f>
        <v>201.10596000000001</v>
      </c>
      <c r="I62" s="213">
        <f t="shared" ref="I62" si="35">F62*H62</f>
        <v>17295.112560000001</v>
      </c>
    </row>
    <row r="63" spans="1:10" s="3" customFormat="1" ht="22.5" x14ac:dyDescent="0.2">
      <c r="A63" s="84" t="s">
        <v>378</v>
      </c>
      <c r="B63" s="29">
        <v>88489</v>
      </c>
      <c r="C63" s="29" t="s">
        <v>12</v>
      </c>
      <c r="D63" s="184" t="s">
        <v>210</v>
      </c>
      <c r="E63" s="34" t="s">
        <v>6</v>
      </c>
      <c r="F63" s="33">
        <f>'Memória de Cálculo '!F77</f>
        <v>577.101</v>
      </c>
      <c r="G63" s="37">
        <v>10.23</v>
      </c>
      <c r="H63" s="38">
        <f t="shared" si="30"/>
        <v>13.087239000000002</v>
      </c>
      <c r="I63" s="213">
        <f t="shared" si="33"/>
        <v>7552.6587141390009</v>
      </c>
    </row>
    <row r="64" spans="1:10" s="3" customFormat="1" ht="11.25" x14ac:dyDescent="0.2">
      <c r="A64" s="86" t="s">
        <v>151</v>
      </c>
      <c r="B64" s="39"/>
      <c r="C64" s="39"/>
      <c r="D64" s="36" t="s">
        <v>245</v>
      </c>
      <c r="E64" s="56"/>
      <c r="F64" s="40"/>
      <c r="G64" s="41"/>
      <c r="H64" s="42"/>
      <c r="I64" s="85"/>
    </row>
    <row r="65" spans="1:10" s="3" customFormat="1" ht="11.25" x14ac:dyDescent="0.2">
      <c r="A65" s="80" t="s">
        <v>152</v>
      </c>
      <c r="B65" s="39"/>
      <c r="C65" s="39"/>
      <c r="D65" s="36" t="s">
        <v>39</v>
      </c>
      <c r="E65" s="56"/>
      <c r="F65" s="40"/>
      <c r="G65" s="41"/>
      <c r="H65" s="42"/>
      <c r="I65" s="85">
        <f>SUM(I66:I68)</f>
        <v>3183.1926390000008</v>
      </c>
    </row>
    <row r="66" spans="1:10" s="3" customFormat="1" ht="22.5" x14ac:dyDescent="0.2">
      <c r="A66" s="82" t="s">
        <v>255</v>
      </c>
      <c r="B66" s="29">
        <v>3278</v>
      </c>
      <c r="C66" s="162" t="s">
        <v>23</v>
      </c>
      <c r="D66" s="44" t="s">
        <v>292</v>
      </c>
      <c r="E66" s="22" t="s">
        <v>294</v>
      </c>
      <c r="F66" s="33">
        <f>'Memória de Cálculo '!F81</f>
        <v>1</v>
      </c>
      <c r="G66" s="37">
        <v>134.66999999999999</v>
      </c>
      <c r="H66" s="38">
        <f t="shared" ref="H66:H68" si="36">G66*($F$2+1)</f>
        <v>172.283331</v>
      </c>
      <c r="I66" s="83">
        <f t="shared" ref="I66:I68" si="37">F66*H66</f>
        <v>172.283331</v>
      </c>
      <c r="J66" s="14"/>
    </row>
    <row r="67" spans="1:10" s="3" customFormat="1" ht="33.75" x14ac:dyDescent="0.2">
      <c r="A67" s="82" t="s">
        <v>257</v>
      </c>
      <c r="B67" s="29">
        <v>93128</v>
      </c>
      <c r="C67" s="29" t="s">
        <v>12</v>
      </c>
      <c r="D67" s="44" t="s">
        <v>296</v>
      </c>
      <c r="E67" s="22" t="s">
        <v>294</v>
      </c>
      <c r="F67" s="33">
        <f>F68</f>
        <v>12</v>
      </c>
      <c r="G67" s="37">
        <v>103.99</v>
      </c>
      <c r="H67" s="38">
        <f t="shared" ref="H67" si="38">G67*($F$2+1)</f>
        <v>133.03440700000002</v>
      </c>
      <c r="I67" s="83">
        <f t="shared" ref="I67" si="39">F67*H67</f>
        <v>1596.4128840000003</v>
      </c>
      <c r="J67" s="14"/>
    </row>
    <row r="68" spans="1:10" s="3" customFormat="1" ht="22.5" x14ac:dyDescent="0.2">
      <c r="A68" s="82" t="s">
        <v>379</v>
      </c>
      <c r="B68" s="29">
        <v>97586</v>
      </c>
      <c r="C68" s="29" t="s">
        <v>12</v>
      </c>
      <c r="D68" s="44" t="s">
        <v>306</v>
      </c>
      <c r="E68" s="22" t="s">
        <v>246</v>
      </c>
      <c r="F68" s="33">
        <f>'Memória de Cálculo '!F82</f>
        <v>12</v>
      </c>
      <c r="G68" s="37">
        <v>92.14</v>
      </c>
      <c r="H68" s="38">
        <f t="shared" si="36"/>
        <v>117.87470200000001</v>
      </c>
      <c r="I68" s="83">
        <f t="shared" si="37"/>
        <v>1414.4964240000002</v>
      </c>
      <c r="J68" s="14"/>
    </row>
    <row r="69" spans="1:10" s="3" customFormat="1" ht="11.25" x14ac:dyDescent="0.2">
      <c r="A69" s="80" t="s">
        <v>153</v>
      </c>
      <c r="B69" s="39"/>
      <c r="C69" s="39"/>
      <c r="D69" s="36" t="s">
        <v>18</v>
      </c>
      <c r="E69" s="56"/>
      <c r="F69" s="40"/>
      <c r="G69" s="41"/>
      <c r="H69" s="42"/>
      <c r="I69" s="85">
        <f>SUM(I70:I70)</f>
        <v>39.223338000000005</v>
      </c>
    </row>
    <row r="70" spans="1:10" s="3" customFormat="1" ht="11.25" x14ac:dyDescent="0.2">
      <c r="A70" s="82" t="s">
        <v>256</v>
      </c>
      <c r="B70" s="29">
        <v>10793</v>
      </c>
      <c r="C70" s="29" t="s">
        <v>23</v>
      </c>
      <c r="D70" s="44" t="s">
        <v>290</v>
      </c>
      <c r="E70" s="22" t="s">
        <v>246</v>
      </c>
      <c r="F70" s="33">
        <f>'Memória de Cálculo '!F84</f>
        <v>3</v>
      </c>
      <c r="G70" s="37">
        <v>10.220000000000001</v>
      </c>
      <c r="H70" s="38">
        <f t="shared" ref="H70" si="40">G70*($F$2+1)</f>
        <v>13.074446000000002</v>
      </c>
      <c r="I70" s="83">
        <f t="shared" ref="I70" si="41">F70*H70</f>
        <v>39.223338000000005</v>
      </c>
    </row>
    <row r="71" spans="1:10" s="3" customFormat="1" ht="11.25" x14ac:dyDescent="0.2">
      <c r="A71" s="80" t="s">
        <v>213</v>
      </c>
      <c r="B71" s="39"/>
      <c r="C71" s="39"/>
      <c r="D71" s="36" t="s">
        <v>46</v>
      </c>
      <c r="E71" s="56"/>
      <c r="F71" s="40"/>
      <c r="G71" s="43"/>
      <c r="H71" s="42"/>
      <c r="I71" s="212">
        <f>SUM(I72:I78)</f>
        <v>24609.126520000005</v>
      </c>
    </row>
    <row r="72" spans="1:10" s="3" customFormat="1" ht="11.25" x14ac:dyDescent="0.2">
      <c r="A72" s="84" t="s">
        <v>214</v>
      </c>
      <c r="B72" s="29">
        <v>12359</v>
      </c>
      <c r="C72" s="29" t="s">
        <v>23</v>
      </c>
      <c r="D72" s="155" t="s">
        <v>209</v>
      </c>
      <c r="E72" s="22" t="s">
        <v>17</v>
      </c>
      <c r="F72" s="33">
        <f>'Memória de Cálculo '!F86</f>
        <v>5</v>
      </c>
      <c r="G72" s="37">
        <v>220.32</v>
      </c>
      <c r="H72" s="38">
        <f t="shared" ref="H72:H73" si="42">G72*($F$2+1)</f>
        <v>281.85537600000004</v>
      </c>
      <c r="I72" s="213">
        <f t="shared" ref="I72:I73" si="43">F72*H72</f>
        <v>1409.2768800000001</v>
      </c>
    </row>
    <row r="73" spans="1:10" s="3" customFormat="1" ht="11.25" x14ac:dyDescent="0.2">
      <c r="A73" s="84" t="s">
        <v>258</v>
      </c>
      <c r="B73" s="29">
        <v>10965</v>
      </c>
      <c r="C73" s="29" t="s">
        <v>23</v>
      </c>
      <c r="D73" s="155" t="s">
        <v>212</v>
      </c>
      <c r="E73" s="22" t="s">
        <v>17</v>
      </c>
      <c r="F73" s="33">
        <f>'Memória de Cálculo '!F87</f>
        <v>9</v>
      </c>
      <c r="G73" s="37">
        <v>444</v>
      </c>
      <c r="H73" s="38">
        <f t="shared" si="42"/>
        <v>568.00920000000008</v>
      </c>
      <c r="I73" s="213">
        <f t="shared" si="43"/>
        <v>5112.082800000001</v>
      </c>
    </row>
    <row r="74" spans="1:10" s="3" customFormat="1" ht="11.25" x14ac:dyDescent="0.2">
      <c r="A74" s="84" t="s">
        <v>259</v>
      </c>
      <c r="B74" s="29">
        <v>10964</v>
      </c>
      <c r="C74" s="29" t="s">
        <v>23</v>
      </c>
      <c r="D74" s="155" t="s">
        <v>216</v>
      </c>
      <c r="E74" s="22" t="s">
        <v>17</v>
      </c>
      <c r="F74" s="33">
        <f>'Memória de Cálculo '!F88</f>
        <v>8</v>
      </c>
      <c r="G74" s="37">
        <v>166</v>
      </c>
      <c r="H74" s="38">
        <f t="shared" ref="H74:H75" si="44">G74*($F$2+1)</f>
        <v>212.36380000000003</v>
      </c>
      <c r="I74" s="213">
        <f t="shared" ref="I74:I75" si="45">F74*H74</f>
        <v>1698.9104000000002</v>
      </c>
    </row>
    <row r="75" spans="1:10" s="3" customFormat="1" ht="11.25" x14ac:dyDescent="0.2">
      <c r="A75" s="84" t="s">
        <v>260</v>
      </c>
      <c r="B75" s="29">
        <v>10963</v>
      </c>
      <c r="C75" s="29" t="s">
        <v>23</v>
      </c>
      <c r="D75" s="155" t="s">
        <v>215</v>
      </c>
      <c r="E75" s="22" t="s">
        <v>17</v>
      </c>
      <c r="F75" s="33">
        <f>'Memória de Cálculo '!F89</f>
        <v>16</v>
      </c>
      <c r="G75" s="37">
        <v>104</v>
      </c>
      <c r="H75" s="38">
        <f t="shared" si="44"/>
        <v>133.0472</v>
      </c>
      <c r="I75" s="213">
        <f t="shared" si="45"/>
        <v>2128.7552000000001</v>
      </c>
    </row>
    <row r="76" spans="1:10" s="14" customFormat="1" ht="11.25" x14ac:dyDescent="0.2">
      <c r="A76" s="314" t="s">
        <v>261</v>
      </c>
      <c r="B76" s="162">
        <f>'C. Próprias'!B7</f>
        <v>1</v>
      </c>
      <c r="C76" s="162" t="str">
        <f>'C. Próprias'!C7</f>
        <v>CP</v>
      </c>
      <c r="D76" s="162" t="str">
        <f>'C. Próprias'!D7</f>
        <v>Motobomba Piscina Nautilus 5CV - B9NRL-50 Ref: 1132</v>
      </c>
      <c r="E76" s="346" t="s">
        <v>17</v>
      </c>
      <c r="F76" s="33">
        <f>'Memória de Cálculo '!F90</f>
        <v>1</v>
      </c>
      <c r="G76" s="37">
        <f>'C. Próprias'!H7</f>
        <v>3470</v>
      </c>
      <c r="H76" s="38">
        <f t="shared" ref="H76:H78" si="46">G76*($F$2+1)</f>
        <v>4439.1710000000003</v>
      </c>
      <c r="I76" s="213">
        <f t="shared" ref="I76:I78" si="47">F76*H76</f>
        <v>4439.1710000000003</v>
      </c>
    </row>
    <row r="77" spans="1:10" s="14" customFormat="1" ht="11.25" x14ac:dyDescent="0.2">
      <c r="A77" s="314" t="s">
        <v>262</v>
      </c>
      <c r="B77" s="162">
        <f>'C. Próprias'!B9</f>
        <v>2</v>
      </c>
      <c r="C77" s="162" t="str">
        <f>'C. Próprias'!C9</f>
        <v>CP</v>
      </c>
      <c r="D77" s="162" t="str">
        <f>'C. Próprias'!D9</f>
        <v>Filtro Areia MODELO F1150p Para Piscinas Nautilus</v>
      </c>
      <c r="E77" s="346" t="s">
        <v>17</v>
      </c>
      <c r="F77" s="33">
        <f>'Memória de Cálculo '!F91</f>
        <v>1</v>
      </c>
      <c r="G77" s="37">
        <f>'C. Próprias'!H9</f>
        <v>6756.8</v>
      </c>
      <c r="H77" s="38">
        <f t="shared" si="46"/>
        <v>8643.9742400000014</v>
      </c>
      <c r="I77" s="213">
        <f t="shared" si="47"/>
        <v>8643.9742400000014</v>
      </c>
    </row>
    <row r="78" spans="1:10" s="14" customFormat="1" ht="11.25" x14ac:dyDescent="0.2">
      <c r="A78" s="314"/>
      <c r="B78" s="162">
        <f>'C. Próprias'!B11</f>
        <v>3</v>
      </c>
      <c r="C78" s="162" t="str">
        <f>'C. Próprias'!C11</f>
        <v>CP</v>
      </c>
      <c r="D78" s="162" t="str">
        <f>'C. Próprias'!D11</f>
        <v>Pre Filtro Nautilus PF-3”</v>
      </c>
      <c r="E78" s="346" t="s">
        <v>17</v>
      </c>
      <c r="F78" s="33">
        <v>1</v>
      </c>
      <c r="G78" s="37">
        <f>'C. Próprias'!H11</f>
        <v>920</v>
      </c>
      <c r="H78" s="38">
        <f t="shared" si="46"/>
        <v>1176.9560000000001</v>
      </c>
      <c r="I78" s="213">
        <f t="shared" si="47"/>
        <v>1176.9560000000001</v>
      </c>
    </row>
    <row r="79" spans="1:10" s="3" customFormat="1" ht="11.25" x14ac:dyDescent="0.2">
      <c r="A79" s="80" t="s">
        <v>263</v>
      </c>
      <c r="B79" s="39"/>
      <c r="C79" s="39"/>
      <c r="D79" s="36" t="s">
        <v>100</v>
      </c>
      <c r="E79" s="56"/>
      <c r="F79" s="40"/>
      <c r="G79" s="43"/>
      <c r="H79" s="42"/>
      <c r="I79" s="212">
        <f>SUM(I80)</f>
        <v>18830.107914089996</v>
      </c>
    </row>
    <row r="80" spans="1:10" s="3" customFormat="1" ht="45" x14ac:dyDescent="0.2">
      <c r="A80" s="84" t="s">
        <v>264</v>
      </c>
      <c r="B80" s="29">
        <v>99839</v>
      </c>
      <c r="C80" s="29" t="s">
        <v>12</v>
      </c>
      <c r="D80" s="155" t="s">
        <v>218</v>
      </c>
      <c r="E80" s="22" t="s">
        <v>122</v>
      </c>
      <c r="F80" s="33">
        <f>'Memória de Cálculo '!F93</f>
        <v>52.089999999999989</v>
      </c>
      <c r="G80" s="37">
        <v>282.57</v>
      </c>
      <c r="H80" s="38">
        <f t="shared" ref="H80" si="48">G80*($F$2+1)</f>
        <v>361.49180100000001</v>
      </c>
      <c r="I80" s="213">
        <f t="shared" ref="I80" si="49">F80*H80</f>
        <v>18830.107914089996</v>
      </c>
    </row>
    <row r="81" spans="1:10" s="3" customFormat="1" ht="11.25" x14ac:dyDescent="0.2">
      <c r="A81" s="80" t="s">
        <v>499</v>
      </c>
      <c r="B81" s="39"/>
      <c r="C81" s="39"/>
      <c r="D81" s="36" t="s">
        <v>495</v>
      </c>
      <c r="E81" s="56"/>
      <c r="F81" s="40"/>
      <c r="G81" s="43"/>
      <c r="H81" s="42"/>
      <c r="I81" s="212">
        <f>SUM(I82:I83)</f>
        <v>185097.71373192</v>
      </c>
    </row>
    <row r="82" spans="1:10" s="3" customFormat="1" ht="22.5" x14ac:dyDescent="0.2">
      <c r="A82" s="84" t="s">
        <v>500</v>
      </c>
      <c r="B82" s="29">
        <v>94216</v>
      </c>
      <c r="C82" s="29" t="s">
        <v>12</v>
      </c>
      <c r="D82" s="316" t="s">
        <v>501</v>
      </c>
      <c r="E82" s="34" t="s">
        <v>6</v>
      </c>
      <c r="F82" s="33">
        <f>'Memória de Cálculo '!F95</f>
        <v>410.03999999999996</v>
      </c>
      <c r="G82" s="37">
        <v>224.79</v>
      </c>
      <c r="H82" s="38">
        <f t="shared" ref="H82:H83" si="50">G82*($F$2+1)</f>
        <v>287.573847</v>
      </c>
      <c r="I82" s="213">
        <f t="shared" ref="I82:I83" si="51">F82*H82</f>
        <v>117916.78022387999</v>
      </c>
      <c r="J82" s="14"/>
    </row>
    <row r="83" spans="1:10" s="3" customFormat="1" ht="33.75" x14ac:dyDescent="0.2">
      <c r="A83" s="84" t="s">
        <v>707</v>
      </c>
      <c r="B83" s="29">
        <v>12510</v>
      </c>
      <c r="C83" s="29" t="s">
        <v>23</v>
      </c>
      <c r="D83" s="316" t="s">
        <v>706</v>
      </c>
      <c r="E83" s="34" t="s">
        <v>6</v>
      </c>
      <c r="F83" s="33">
        <f>'Memória de Cálculo '!F95</f>
        <v>410.03999999999996</v>
      </c>
      <c r="G83" s="37">
        <v>128.07</v>
      </c>
      <c r="H83" s="38">
        <f t="shared" si="50"/>
        <v>163.83995100000001</v>
      </c>
      <c r="I83" s="213">
        <f t="shared" si="51"/>
        <v>67180.933508040005</v>
      </c>
      <c r="J83" s="14"/>
    </row>
    <row r="84" spans="1:10" s="125" customFormat="1" ht="12" x14ac:dyDescent="0.2">
      <c r="A84" s="121">
        <v>5</v>
      </c>
      <c r="B84" s="122"/>
      <c r="C84" s="122"/>
      <c r="D84" s="121" t="s">
        <v>87</v>
      </c>
      <c r="E84" s="123"/>
      <c r="F84" s="124"/>
      <c r="G84" s="124"/>
      <c r="H84" s="124"/>
      <c r="I84" s="214">
        <f>I85+I91</f>
        <v>65173.504523061005</v>
      </c>
    </row>
    <row r="85" spans="1:10" s="3" customFormat="1" ht="11.25" x14ac:dyDescent="0.2">
      <c r="A85" s="80" t="s">
        <v>22</v>
      </c>
      <c r="B85" s="39"/>
      <c r="C85" s="39"/>
      <c r="D85" s="36" t="s">
        <v>32</v>
      </c>
      <c r="E85" s="56"/>
      <c r="F85" s="40"/>
      <c r="G85" s="43"/>
      <c r="H85" s="42"/>
      <c r="I85" s="212">
        <f>SUM(I86:I89)</f>
        <v>50676.911885061003</v>
      </c>
    </row>
    <row r="86" spans="1:10" s="3" customFormat="1" ht="22.5" x14ac:dyDescent="0.2">
      <c r="A86" s="84" t="s">
        <v>247</v>
      </c>
      <c r="B86" s="252">
        <v>92397</v>
      </c>
      <c r="C86" s="252" t="s">
        <v>12</v>
      </c>
      <c r="D86" s="21" t="s">
        <v>488</v>
      </c>
      <c r="E86" s="34" t="s">
        <v>6</v>
      </c>
      <c r="F86" s="33">
        <f>'Memória de Cálculo '!F98</f>
        <v>557.30999999999995</v>
      </c>
      <c r="G86" s="37">
        <v>48.42</v>
      </c>
      <c r="H86" s="38">
        <f t="shared" ref="H86:H89" si="52">G86*($F$2+1)</f>
        <v>61.943706000000006</v>
      </c>
      <c r="I86" s="83">
        <f t="shared" ref="I86:I89" si="53">F86*H86</f>
        <v>34521.84679086</v>
      </c>
    </row>
    <row r="87" spans="1:10" s="3" customFormat="1" ht="33.75" x14ac:dyDescent="0.2">
      <c r="A87" s="84" t="s">
        <v>248</v>
      </c>
      <c r="B87" s="29">
        <v>94994</v>
      </c>
      <c r="C87" s="252" t="s">
        <v>12</v>
      </c>
      <c r="D87" s="53" t="s">
        <v>188</v>
      </c>
      <c r="E87" s="34" t="s">
        <v>6</v>
      </c>
      <c r="F87" s="33">
        <f>'Memória de Cálculo '!F99</f>
        <v>162.24</v>
      </c>
      <c r="G87" s="37">
        <v>68.91</v>
      </c>
      <c r="H87" s="38">
        <f t="shared" si="52"/>
        <v>88.156563000000006</v>
      </c>
      <c r="I87" s="83">
        <f t="shared" si="53"/>
        <v>14302.520781120002</v>
      </c>
      <c r="J87" s="14"/>
    </row>
    <row r="88" spans="1:10" s="3" customFormat="1" ht="22.5" x14ac:dyDescent="0.2">
      <c r="A88" s="84" t="s">
        <v>249</v>
      </c>
      <c r="B88" s="252">
        <v>3</v>
      </c>
      <c r="C88" s="252" t="s">
        <v>76</v>
      </c>
      <c r="D88" s="21" t="str">
        <f>Composições!D17</f>
        <v>Regularização, nivelamento e espalhamento da mistura fértil orgânica - Incluindo adubo - altura = 10cm</v>
      </c>
      <c r="E88" s="34" t="s">
        <v>6</v>
      </c>
      <c r="F88" s="33">
        <f>'Memória de Cálculo '!F100</f>
        <v>87.03</v>
      </c>
      <c r="G88" s="37">
        <f>Composições!H17</f>
        <v>8.2889999999999997</v>
      </c>
      <c r="H88" s="38">
        <f t="shared" si="52"/>
        <v>10.6041177</v>
      </c>
      <c r="I88" s="83">
        <f t="shared" si="53"/>
        <v>922.87636343099996</v>
      </c>
      <c r="J88" s="14"/>
    </row>
    <row r="89" spans="1:10" s="3" customFormat="1" ht="11.25" x14ac:dyDescent="0.2">
      <c r="A89" s="84" t="s">
        <v>250</v>
      </c>
      <c r="B89" s="252">
        <v>98504</v>
      </c>
      <c r="C89" s="252" t="s">
        <v>12</v>
      </c>
      <c r="D89" s="164" t="s">
        <v>96</v>
      </c>
      <c r="E89" s="34" t="s">
        <v>6</v>
      </c>
      <c r="F89" s="33">
        <f>'Memória de Cálculo '!F101</f>
        <v>87.03</v>
      </c>
      <c r="G89" s="37">
        <v>8.35</v>
      </c>
      <c r="H89" s="38">
        <f t="shared" si="52"/>
        <v>10.682155</v>
      </c>
      <c r="I89" s="83">
        <f t="shared" si="53"/>
        <v>929.66794964999997</v>
      </c>
      <c r="J89" s="14"/>
    </row>
    <row r="90" spans="1:10" s="3" customFormat="1" ht="11.25" x14ac:dyDescent="0.2">
      <c r="A90" s="86" t="s">
        <v>154</v>
      </c>
      <c r="B90" s="39"/>
      <c r="C90" s="39"/>
      <c r="D90" s="36" t="s">
        <v>245</v>
      </c>
      <c r="E90" s="56"/>
      <c r="F90" s="40"/>
      <c r="G90" s="41"/>
      <c r="H90" s="42"/>
      <c r="I90" s="85"/>
      <c r="J90" s="14"/>
    </row>
    <row r="91" spans="1:10" s="3" customFormat="1" ht="11.25" x14ac:dyDescent="0.2">
      <c r="A91" s="80" t="s">
        <v>251</v>
      </c>
      <c r="B91" s="39"/>
      <c r="C91" s="39"/>
      <c r="D91" s="36" t="s">
        <v>252</v>
      </c>
      <c r="E91" s="56"/>
      <c r="F91" s="40"/>
      <c r="G91" s="41"/>
      <c r="H91" s="42"/>
      <c r="I91" s="85">
        <f>SUM(I92:I93)</f>
        <v>14496.592638000002</v>
      </c>
      <c r="J91" s="14"/>
    </row>
    <row r="92" spans="1:10" s="3" customFormat="1" ht="11.25" x14ac:dyDescent="0.2">
      <c r="A92" s="82" t="s">
        <v>253</v>
      </c>
      <c r="B92" s="29">
        <v>742461</v>
      </c>
      <c r="C92" s="162" t="s">
        <v>23</v>
      </c>
      <c r="D92" s="44" t="s">
        <v>344</v>
      </c>
      <c r="E92" s="22" t="s">
        <v>246</v>
      </c>
      <c r="F92" s="33">
        <f>'Memória de Cálculo '!F104</f>
        <v>30</v>
      </c>
      <c r="G92" s="37">
        <v>248.92</v>
      </c>
      <c r="H92" s="38">
        <f t="shared" ref="H92:H93" si="54">G92*($F$2+1)</f>
        <v>318.44335599999999</v>
      </c>
      <c r="I92" s="83">
        <f t="shared" ref="I92:I93" si="55">F92*H92</f>
        <v>9553.3006800000003</v>
      </c>
      <c r="J92" s="14"/>
    </row>
    <row r="93" spans="1:10" s="3" customFormat="1" ht="33.75" x14ac:dyDescent="0.2">
      <c r="A93" s="82" t="s">
        <v>254</v>
      </c>
      <c r="B93" s="29">
        <v>7741</v>
      </c>
      <c r="C93" s="29" t="s">
        <v>23</v>
      </c>
      <c r="D93" s="44" t="s">
        <v>701</v>
      </c>
      <c r="E93" s="22" t="s">
        <v>246</v>
      </c>
      <c r="F93" s="33">
        <f>'Memória de Cálculo '!F105</f>
        <v>6</v>
      </c>
      <c r="G93" s="37">
        <v>644.01</v>
      </c>
      <c r="H93" s="38">
        <f t="shared" si="54"/>
        <v>823.88199300000008</v>
      </c>
      <c r="I93" s="83">
        <f t="shared" si="55"/>
        <v>4943.2919580000007</v>
      </c>
      <c r="J93" s="14"/>
    </row>
    <row r="94" spans="1:10" s="125" customFormat="1" ht="12" x14ac:dyDescent="0.2">
      <c r="A94" s="121">
        <v>6</v>
      </c>
      <c r="B94" s="122"/>
      <c r="C94" s="122"/>
      <c r="D94" s="121" t="s">
        <v>88</v>
      </c>
      <c r="E94" s="123"/>
      <c r="F94" s="124"/>
      <c r="G94" s="124"/>
      <c r="H94" s="124"/>
      <c r="I94" s="214">
        <f>I95+I99+I104+I106+I110+I112+I116+I119+I123+I125+I129+I134+I143+I147+I156+I165+I179+I185+I192+I197+I200+I203</f>
        <v>963887.63295308326</v>
      </c>
      <c r="J94" s="336"/>
    </row>
    <row r="95" spans="1:10" s="3" customFormat="1" ht="15" customHeight="1" x14ac:dyDescent="0.2">
      <c r="A95" s="80" t="s">
        <v>14</v>
      </c>
      <c r="B95" s="39"/>
      <c r="C95" s="39"/>
      <c r="D95" s="36" t="s">
        <v>40</v>
      </c>
      <c r="E95" s="56"/>
      <c r="F95" s="40"/>
      <c r="G95" s="41"/>
      <c r="H95" s="42"/>
      <c r="I95" s="85">
        <f>SUM(I96:I97)</f>
        <v>7917.9056915072406</v>
      </c>
      <c r="J95" s="14"/>
    </row>
    <row r="96" spans="1:10" s="3" customFormat="1" ht="22.5" x14ac:dyDescent="0.2">
      <c r="A96" s="82" t="s">
        <v>63</v>
      </c>
      <c r="B96" s="29">
        <v>93358</v>
      </c>
      <c r="C96" s="29" t="s">
        <v>12</v>
      </c>
      <c r="D96" s="44" t="s">
        <v>68</v>
      </c>
      <c r="E96" s="22" t="s">
        <v>7</v>
      </c>
      <c r="F96" s="33">
        <f>'Memória de Cálculo '!F108</f>
        <v>105.46380000000001</v>
      </c>
      <c r="G96" s="37">
        <v>51.23</v>
      </c>
      <c r="H96" s="38">
        <f t="shared" ref="H96" si="56">G96*($F$2+1)</f>
        <v>65.538539</v>
      </c>
      <c r="I96" s="83">
        <f t="shared" ref="I96" si="57">F96*H96</f>
        <v>6911.9433693882002</v>
      </c>
      <c r="J96" s="14"/>
    </row>
    <row r="97" spans="1:10" s="3" customFormat="1" ht="11.25" x14ac:dyDescent="0.2">
      <c r="A97" s="82" t="s">
        <v>64</v>
      </c>
      <c r="B97" s="29">
        <v>93382</v>
      </c>
      <c r="C97" s="29" t="s">
        <v>12</v>
      </c>
      <c r="D97" s="48" t="s">
        <v>219</v>
      </c>
      <c r="E97" s="22" t="s">
        <v>7</v>
      </c>
      <c r="F97" s="33">
        <f>'Memória de Cálculo '!F109</f>
        <v>42.185520000000004</v>
      </c>
      <c r="G97" s="37">
        <v>18.64</v>
      </c>
      <c r="H97" s="38">
        <f t="shared" ref="H97" si="58">G97*($F$2+1)</f>
        <v>23.846152000000004</v>
      </c>
      <c r="I97" s="83">
        <f t="shared" ref="I97" si="59">F97*H97</f>
        <v>1005.9623221190402</v>
      </c>
      <c r="J97" s="14"/>
    </row>
    <row r="98" spans="1:10" s="3" customFormat="1" ht="11.25" x14ac:dyDescent="0.2">
      <c r="A98" s="86" t="s">
        <v>15</v>
      </c>
      <c r="B98" s="39"/>
      <c r="C98" s="39"/>
      <c r="D98" s="36" t="s">
        <v>30</v>
      </c>
      <c r="E98" s="56"/>
      <c r="F98" s="40"/>
      <c r="G98" s="41"/>
      <c r="H98" s="42"/>
      <c r="I98" s="85"/>
      <c r="J98" s="14"/>
    </row>
    <row r="99" spans="1:10" s="3" customFormat="1" ht="15" customHeight="1" x14ac:dyDescent="0.2">
      <c r="A99" s="80" t="s">
        <v>65</v>
      </c>
      <c r="B99" s="39"/>
      <c r="C99" s="39"/>
      <c r="D99" s="36" t="s">
        <v>10</v>
      </c>
      <c r="E99" s="56"/>
      <c r="F99" s="40"/>
      <c r="G99" s="41"/>
      <c r="H99" s="42"/>
      <c r="I99" s="85">
        <f>SUM(I100:I103)</f>
        <v>45156.145374162246</v>
      </c>
      <c r="J99" s="14"/>
    </row>
    <row r="100" spans="1:10" s="3" customFormat="1" ht="22.5" x14ac:dyDescent="0.2">
      <c r="A100" s="84" t="s">
        <v>380</v>
      </c>
      <c r="B100" s="252">
        <v>96617</v>
      </c>
      <c r="C100" s="252" t="s">
        <v>12</v>
      </c>
      <c r="D100" s="320" t="s">
        <v>489</v>
      </c>
      <c r="E100" s="34" t="s">
        <v>6</v>
      </c>
      <c r="F100" s="33">
        <f>'Memória de Cálculo '!F112</f>
        <v>234.364</v>
      </c>
      <c r="G100" s="37">
        <v>12.03</v>
      </c>
      <c r="H100" s="38">
        <f t="shared" ref="H100" si="60">G100*($F$2+1)</f>
        <v>15.389979</v>
      </c>
      <c r="I100" s="83">
        <f t="shared" ref="I100" si="61">F100*H100</f>
        <v>3606.857038356</v>
      </c>
      <c r="J100" s="14"/>
    </row>
    <row r="101" spans="1:10" s="3" customFormat="1" ht="22.5" x14ac:dyDescent="0.2">
      <c r="A101" s="84" t="s">
        <v>381</v>
      </c>
      <c r="B101" s="252">
        <v>92873</v>
      </c>
      <c r="C101" s="252" t="s">
        <v>12</v>
      </c>
      <c r="D101" s="45" t="s">
        <v>358</v>
      </c>
      <c r="E101" s="34" t="s">
        <v>7</v>
      </c>
      <c r="F101" s="33">
        <f>'Memória de Cálculo '!F113</f>
        <v>7.0309200000000001</v>
      </c>
      <c r="G101" s="37">
        <v>133.88999999999999</v>
      </c>
      <c r="H101" s="38">
        <f t="shared" ref="H101:H103" si="62">G101*($F$2+1)</f>
        <v>171.28547699999999</v>
      </c>
      <c r="I101" s="83">
        <f t="shared" ref="I101:I103" si="63">F101*H101</f>
        <v>1204.29448594884</v>
      </c>
      <c r="J101" s="14"/>
    </row>
    <row r="102" spans="1:10" s="3" customFormat="1" ht="36.75" customHeight="1" x14ac:dyDescent="0.2">
      <c r="A102" s="84" t="s">
        <v>382</v>
      </c>
      <c r="B102" s="252">
        <v>87481</v>
      </c>
      <c r="C102" s="252" t="s">
        <v>12</v>
      </c>
      <c r="D102" s="45" t="s">
        <v>359</v>
      </c>
      <c r="E102" s="34" t="s">
        <v>6</v>
      </c>
      <c r="F102" s="33">
        <f>'Memória de Cálculo '!F114</f>
        <v>117.182</v>
      </c>
      <c r="G102" s="37">
        <v>45.01</v>
      </c>
      <c r="H102" s="38">
        <f t="shared" si="62"/>
        <v>57.581293000000002</v>
      </c>
      <c r="I102" s="83">
        <f t="shared" si="63"/>
        <v>6747.4910763260004</v>
      </c>
    </row>
    <row r="103" spans="1:10" s="3" customFormat="1" ht="22.5" x14ac:dyDescent="0.2">
      <c r="A103" s="84" t="s">
        <v>383</v>
      </c>
      <c r="B103" s="252">
        <v>6456</v>
      </c>
      <c r="C103" s="252" t="s">
        <v>23</v>
      </c>
      <c r="D103" s="45" t="s">
        <v>490</v>
      </c>
      <c r="E103" s="34" t="s">
        <v>7</v>
      </c>
      <c r="F103" s="33">
        <f>'Memória de Cálculo '!F116</f>
        <v>17.304200000000002</v>
      </c>
      <c r="G103" s="47">
        <v>1517.69</v>
      </c>
      <c r="H103" s="38">
        <f t="shared" si="62"/>
        <v>1941.5808170000003</v>
      </c>
      <c r="I103" s="83">
        <f t="shared" si="63"/>
        <v>33597.502773531407</v>
      </c>
      <c r="J103" s="14"/>
    </row>
    <row r="104" spans="1:10" s="3" customFormat="1" ht="11.25" x14ac:dyDescent="0.2">
      <c r="A104" s="80" t="s">
        <v>66</v>
      </c>
      <c r="B104" s="39"/>
      <c r="C104" s="39"/>
      <c r="D104" s="46" t="s">
        <v>31</v>
      </c>
      <c r="E104" s="56"/>
      <c r="F104" s="40"/>
      <c r="G104" s="41"/>
      <c r="H104" s="42"/>
      <c r="I104" s="85">
        <f>SUM(I105)</f>
        <v>219759.96051104376</v>
      </c>
      <c r="J104" s="14"/>
    </row>
    <row r="105" spans="1:10" s="3" customFormat="1" ht="22.5" x14ac:dyDescent="0.2">
      <c r="A105" s="84" t="s">
        <v>384</v>
      </c>
      <c r="B105" s="252">
        <v>6456</v>
      </c>
      <c r="C105" s="252" t="s">
        <v>23</v>
      </c>
      <c r="D105" s="45" t="s">
        <v>490</v>
      </c>
      <c r="E105" s="34" t="s">
        <v>7</v>
      </c>
      <c r="F105" s="33">
        <f>'Memória de Cálculo '!F120</f>
        <v>113.18610000000001</v>
      </c>
      <c r="G105" s="47">
        <v>1517.69</v>
      </c>
      <c r="H105" s="38">
        <f t="shared" ref="H105" si="64">G105*($F$2+1)</f>
        <v>1941.5808170000003</v>
      </c>
      <c r="I105" s="83">
        <f t="shared" ref="I105" si="65">F105*H105</f>
        <v>219759.96051104376</v>
      </c>
      <c r="J105" s="14"/>
    </row>
    <row r="106" spans="1:10" s="3" customFormat="1" ht="11.25" x14ac:dyDescent="0.2">
      <c r="A106" s="86" t="s">
        <v>16</v>
      </c>
      <c r="B106" s="39"/>
      <c r="C106" s="39"/>
      <c r="D106" s="36" t="s">
        <v>3</v>
      </c>
      <c r="E106" s="56"/>
      <c r="F106" s="40"/>
      <c r="G106" s="41"/>
      <c r="H106" s="42"/>
      <c r="I106" s="85">
        <f>SUM(I107:I109)</f>
        <v>192252.259096227</v>
      </c>
    </row>
    <row r="107" spans="1:10" s="3" customFormat="1" ht="33.75" x14ac:dyDescent="0.2">
      <c r="A107" s="84" t="s">
        <v>67</v>
      </c>
      <c r="B107" s="252" t="s">
        <v>220</v>
      </c>
      <c r="C107" s="252" t="s">
        <v>12</v>
      </c>
      <c r="D107" s="45" t="s">
        <v>221</v>
      </c>
      <c r="E107" s="34" t="s">
        <v>6</v>
      </c>
      <c r="F107" s="33">
        <f>'Memória de Cálculo '!F131</f>
        <v>1161.9829999999999</v>
      </c>
      <c r="G107" s="37">
        <v>52.45</v>
      </c>
      <c r="H107" s="38">
        <f t="shared" ref="H107:H109" si="66">G107*($F$2+1)</f>
        <v>67.099285000000009</v>
      </c>
      <c r="I107" s="83">
        <f t="shared" ref="I107" si="67">F107*H107</f>
        <v>77968.228482155013</v>
      </c>
    </row>
    <row r="108" spans="1:10" s="3" customFormat="1" ht="33.75" x14ac:dyDescent="0.2">
      <c r="A108" s="84" t="s">
        <v>385</v>
      </c>
      <c r="B108" s="29" t="s">
        <v>227</v>
      </c>
      <c r="C108" s="29" t="s">
        <v>12</v>
      </c>
      <c r="D108" s="48" t="s">
        <v>228</v>
      </c>
      <c r="E108" s="22" t="s">
        <v>6</v>
      </c>
      <c r="F108" s="33">
        <f>'Memória de Cálculo '!F136</f>
        <v>2323.9659999999999</v>
      </c>
      <c r="G108" s="37">
        <v>2.56</v>
      </c>
      <c r="H108" s="38">
        <f t="shared" si="66"/>
        <v>3.2750080000000001</v>
      </c>
      <c r="I108" s="83">
        <f>F108*H108</f>
        <v>7611.0072417279998</v>
      </c>
      <c r="J108" s="14"/>
    </row>
    <row r="109" spans="1:10" s="3" customFormat="1" ht="33.75" x14ac:dyDescent="0.2">
      <c r="A109" s="84" t="s">
        <v>386</v>
      </c>
      <c r="B109" s="252">
        <v>87775</v>
      </c>
      <c r="C109" s="252" t="s">
        <v>12</v>
      </c>
      <c r="D109" s="318" t="s">
        <v>156</v>
      </c>
      <c r="E109" s="22" t="s">
        <v>6</v>
      </c>
      <c r="F109" s="33">
        <f>'Memória de Cálculo '!F137</f>
        <v>2323.9659999999999</v>
      </c>
      <c r="G109" s="37">
        <v>35.880000000000003</v>
      </c>
      <c r="H109" s="38">
        <f t="shared" si="66"/>
        <v>45.901284000000004</v>
      </c>
      <c r="I109" s="83">
        <f t="shared" ref="I109" si="68">F109*H109</f>
        <v>106673.023372344</v>
      </c>
      <c r="J109" s="14"/>
    </row>
    <row r="110" spans="1:10" s="3" customFormat="1" ht="11.25" x14ac:dyDescent="0.2">
      <c r="A110" s="86" t="s">
        <v>79</v>
      </c>
      <c r="B110" s="39"/>
      <c r="C110" s="39"/>
      <c r="D110" s="46" t="s">
        <v>8</v>
      </c>
      <c r="E110" s="56"/>
      <c r="F110" s="40"/>
      <c r="G110" s="43"/>
      <c r="H110" s="42"/>
      <c r="I110" s="85">
        <f>SUM(I111)</f>
        <v>1304.22511362</v>
      </c>
    </row>
    <row r="111" spans="1:10" s="3" customFormat="1" ht="22.5" x14ac:dyDescent="0.2">
      <c r="A111" s="82" t="s">
        <v>80</v>
      </c>
      <c r="B111" s="29" t="s">
        <v>222</v>
      </c>
      <c r="C111" s="29" t="s">
        <v>12</v>
      </c>
      <c r="D111" s="21" t="s">
        <v>223</v>
      </c>
      <c r="E111" s="22" t="s">
        <v>6</v>
      </c>
      <c r="F111" s="33">
        <f>'Memória de Cálculo '!F139</f>
        <v>117.182</v>
      </c>
      <c r="G111" s="47">
        <v>8.6999999999999993</v>
      </c>
      <c r="H111" s="38">
        <f t="shared" ref="H111" si="69">G111*($F$2+1)</f>
        <v>11.129910000000001</v>
      </c>
      <c r="I111" s="213">
        <f t="shared" ref="I111" si="70">F111*H111</f>
        <v>1304.22511362</v>
      </c>
    </row>
    <row r="112" spans="1:10" s="3" customFormat="1" ht="11.25" x14ac:dyDescent="0.2">
      <c r="A112" s="86" t="s">
        <v>79</v>
      </c>
      <c r="B112" s="39"/>
      <c r="C112" s="39"/>
      <c r="D112" s="46" t="s">
        <v>495</v>
      </c>
      <c r="E112" s="56"/>
      <c r="F112" s="40"/>
      <c r="G112" s="43"/>
      <c r="H112" s="42"/>
      <c r="I112" s="85">
        <f>SUM(I113:I114)</f>
        <v>44079.610948560003</v>
      </c>
    </row>
    <row r="113" spans="1:10" s="3" customFormat="1" ht="33.75" x14ac:dyDescent="0.2">
      <c r="A113" s="82" t="s">
        <v>80</v>
      </c>
      <c r="B113" s="29">
        <v>94210</v>
      </c>
      <c r="C113" s="29" t="s">
        <v>12</v>
      </c>
      <c r="D113" s="44" t="s">
        <v>496</v>
      </c>
      <c r="E113" s="22" t="s">
        <v>6</v>
      </c>
      <c r="F113" s="33">
        <f>'Memória de Cálculo '!F141</f>
        <v>590.80999999999995</v>
      </c>
      <c r="G113" s="47">
        <v>42.73</v>
      </c>
      <c r="H113" s="38">
        <f t="shared" ref="H113" si="71">G113*($F$2+1)</f>
        <v>54.664489000000003</v>
      </c>
      <c r="I113" s="213">
        <f t="shared" ref="I113" si="72">F113*H113</f>
        <v>32296.326746089999</v>
      </c>
    </row>
    <row r="114" spans="1:10" s="3" customFormat="1" ht="33.75" x14ac:dyDescent="0.2">
      <c r="A114" s="82" t="s">
        <v>497</v>
      </c>
      <c r="B114" s="29">
        <v>92543</v>
      </c>
      <c r="C114" s="29" t="s">
        <v>12</v>
      </c>
      <c r="D114" s="44" t="s">
        <v>498</v>
      </c>
      <c r="E114" s="22" t="s">
        <v>6</v>
      </c>
      <c r="F114" s="33">
        <f>'Memória de Cálculo '!F142</f>
        <v>590.80999999999995</v>
      </c>
      <c r="G114" s="47">
        <v>15.59</v>
      </c>
      <c r="H114" s="38">
        <f t="shared" ref="H114" si="73">G114*($F$2+1)</f>
        <v>19.944287000000003</v>
      </c>
      <c r="I114" s="213">
        <f t="shared" ref="I114" si="74">F114*H114</f>
        <v>11783.28420247</v>
      </c>
    </row>
    <row r="115" spans="1:10" s="3" customFormat="1" ht="11.25" x14ac:dyDescent="0.2">
      <c r="A115" s="86" t="s">
        <v>387</v>
      </c>
      <c r="B115" s="39"/>
      <c r="C115" s="39"/>
      <c r="D115" s="36" t="s">
        <v>47</v>
      </c>
      <c r="E115" s="56"/>
      <c r="F115" s="40"/>
      <c r="G115" s="43"/>
      <c r="H115" s="42"/>
      <c r="I115" s="212"/>
    </row>
    <row r="116" spans="1:10" s="3" customFormat="1" ht="11.25" x14ac:dyDescent="0.2">
      <c r="A116" s="80" t="s">
        <v>388</v>
      </c>
      <c r="B116" s="39"/>
      <c r="C116" s="39"/>
      <c r="D116" s="36" t="s">
        <v>32</v>
      </c>
      <c r="E116" s="56"/>
      <c r="F116" s="40"/>
      <c r="G116" s="43"/>
      <c r="H116" s="42"/>
      <c r="I116" s="212">
        <f>SUM(I117:I118)</f>
        <v>126647.03659651999</v>
      </c>
    </row>
    <row r="117" spans="1:10" s="3" customFormat="1" ht="33.75" x14ac:dyDescent="0.2">
      <c r="A117" s="84" t="s">
        <v>389</v>
      </c>
      <c r="B117" s="252" t="s">
        <v>224</v>
      </c>
      <c r="C117" s="252" t="s">
        <v>12</v>
      </c>
      <c r="D117" s="320" t="s">
        <v>225</v>
      </c>
      <c r="E117" s="34" t="s">
        <v>6</v>
      </c>
      <c r="F117" s="33">
        <f>'Memória de Cálculo '!F145</f>
        <v>601.66</v>
      </c>
      <c r="G117" s="47">
        <v>60.82</v>
      </c>
      <c r="H117" s="38">
        <f t="shared" ref="H117:H118" si="75">G117*($F$2+1)</f>
        <v>77.807026000000008</v>
      </c>
      <c r="I117" s="213">
        <f>F117*H117</f>
        <v>46813.37526316</v>
      </c>
      <c r="J117" s="14"/>
    </row>
    <row r="118" spans="1:10" s="3" customFormat="1" ht="22.5" x14ac:dyDescent="0.2">
      <c r="A118" s="84" t="s">
        <v>390</v>
      </c>
      <c r="B118" s="29">
        <v>84191</v>
      </c>
      <c r="C118" s="29" t="s">
        <v>12</v>
      </c>
      <c r="D118" s="44" t="s">
        <v>226</v>
      </c>
      <c r="E118" s="34" t="s">
        <v>6</v>
      </c>
      <c r="F118" s="33">
        <f>'Memória de Cálculo '!F146</f>
        <v>601.66</v>
      </c>
      <c r="G118" s="37">
        <v>103.72</v>
      </c>
      <c r="H118" s="38">
        <f t="shared" si="75"/>
        <v>132.688996</v>
      </c>
      <c r="I118" s="213">
        <f t="shared" ref="I118" si="76">F118*H118</f>
        <v>79833.661333359996</v>
      </c>
    </row>
    <row r="119" spans="1:10" s="3" customFormat="1" ht="11.25" x14ac:dyDescent="0.2">
      <c r="A119" s="80" t="s">
        <v>391</v>
      </c>
      <c r="B119" s="39"/>
      <c r="C119" s="39"/>
      <c r="D119" s="36" t="s">
        <v>77</v>
      </c>
      <c r="E119" s="56"/>
      <c r="F119" s="40"/>
      <c r="G119" s="41"/>
      <c r="H119" s="42"/>
      <c r="I119" s="85">
        <f>SUM(I120:I122)</f>
        <v>50452.234605080004</v>
      </c>
    </row>
    <row r="120" spans="1:10" s="3" customFormat="1" ht="33.75" x14ac:dyDescent="0.2">
      <c r="A120" s="82" t="s">
        <v>394</v>
      </c>
      <c r="B120" s="252">
        <v>87269</v>
      </c>
      <c r="C120" s="252" t="s">
        <v>12</v>
      </c>
      <c r="D120" s="45" t="s">
        <v>229</v>
      </c>
      <c r="E120" s="34" t="s">
        <v>6</v>
      </c>
      <c r="F120" s="33">
        <f>'Memória de Cálculo '!F148</f>
        <v>705.46</v>
      </c>
      <c r="G120" s="76">
        <v>40.46</v>
      </c>
      <c r="H120" s="38">
        <f t="shared" si="2"/>
        <v>51.760478000000006</v>
      </c>
      <c r="I120" s="83">
        <f t="shared" ref="I120:I124" si="77">F120*H120</f>
        <v>36514.946809880006</v>
      </c>
    </row>
    <row r="121" spans="1:10" s="3" customFormat="1" ht="11.25" x14ac:dyDescent="0.2">
      <c r="A121" s="82" t="s">
        <v>395</v>
      </c>
      <c r="B121" s="252">
        <v>88497</v>
      </c>
      <c r="C121" s="252" t="s">
        <v>12</v>
      </c>
      <c r="D121" s="45" t="s">
        <v>230</v>
      </c>
      <c r="E121" s="34" t="s">
        <v>6</v>
      </c>
      <c r="F121" s="33">
        <f>'Memória de Cálculo '!F152</f>
        <v>555.84</v>
      </c>
      <c r="G121" s="76">
        <v>9.3699999999999992</v>
      </c>
      <c r="H121" s="38">
        <f t="shared" ref="H121:H122" si="78">G121*($F$2+1)</f>
        <v>11.987041</v>
      </c>
      <c r="I121" s="83">
        <f t="shared" ref="I121:I122" si="79">F121*H121</f>
        <v>6662.8768694400005</v>
      </c>
    </row>
    <row r="122" spans="1:10" s="3" customFormat="1" ht="22.5" x14ac:dyDescent="0.2">
      <c r="A122" s="82" t="s">
        <v>396</v>
      </c>
      <c r="B122" s="252" t="s">
        <v>231</v>
      </c>
      <c r="C122" s="252" t="s">
        <v>12</v>
      </c>
      <c r="D122" s="45" t="s">
        <v>210</v>
      </c>
      <c r="E122" s="34" t="s">
        <v>6</v>
      </c>
      <c r="F122" s="33">
        <f>'Memória de Cálculo '!F153</f>
        <v>555.84</v>
      </c>
      <c r="G122" s="76">
        <v>10.23</v>
      </c>
      <c r="H122" s="38">
        <f t="shared" si="78"/>
        <v>13.087239000000002</v>
      </c>
      <c r="I122" s="83">
        <f t="shared" si="79"/>
        <v>7274.4109257600012</v>
      </c>
    </row>
    <row r="123" spans="1:10" s="3" customFormat="1" ht="11.25" x14ac:dyDescent="0.2">
      <c r="A123" s="80" t="s">
        <v>393</v>
      </c>
      <c r="B123" s="39"/>
      <c r="C123" s="39"/>
      <c r="D123" s="36" t="s">
        <v>78</v>
      </c>
      <c r="E123" s="56"/>
      <c r="F123" s="40"/>
      <c r="G123" s="41"/>
      <c r="H123" s="42"/>
      <c r="I123" s="85">
        <f>SUM(I124:I124)</f>
        <v>24786.621616856002</v>
      </c>
    </row>
    <row r="124" spans="1:10" s="3" customFormat="1" ht="22.5" x14ac:dyDescent="0.2">
      <c r="A124" s="84" t="s">
        <v>397</v>
      </c>
      <c r="B124" s="29" t="s">
        <v>232</v>
      </c>
      <c r="C124" s="29" t="s">
        <v>12</v>
      </c>
      <c r="D124" s="44" t="s">
        <v>233</v>
      </c>
      <c r="E124" s="22" t="s">
        <v>6</v>
      </c>
      <c r="F124" s="33">
        <f>'Memória de Cálculo '!F155</f>
        <v>1121.896</v>
      </c>
      <c r="G124" s="37">
        <v>17.27</v>
      </c>
      <c r="H124" s="38">
        <f t="shared" si="2"/>
        <v>22.093511000000003</v>
      </c>
      <c r="I124" s="83">
        <f t="shared" si="77"/>
        <v>24786.621616856002</v>
      </c>
    </row>
    <row r="125" spans="1:10" s="3" customFormat="1" ht="11.25" x14ac:dyDescent="0.2">
      <c r="A125" s="80" t="s">
        <v>392</v>
      </c>
      <c r="B125" s="39"/>
      <c r="C125" s="39"/>
      <c r="D125" s="36" t="s">
        <v>11</v>
      </c>
      <c r="E125" s="56"/>
      <c r="F125" s="40"/>
      <c r="G125" s="41"/>
      <c r="H125" s="42"/>
      <c r="I125" s="85">
        <f>SUM(I126:I127)</f>
        <v>22290.617356480001</v>
      </c>
    </row>
    <row r="126" spans="1:10" s="3" customFormat="1" ht="11.25" x14ac:dyDescent="0.2">
      <c r="A126" s="82" t="s">
        <v>398</v>
      </c>
      <c r="B126" s="29" t="s">
        <v>234</v>
      </c>
      <c r="C126" s="29" t="s">
        <v>12</v>
      </c>
      <c r="D126" s="44" t="s">
        <v>235</v>
      </c>
      <c r="E126" s="22" t="s">
        <v>6</v>
      </c>
      <c r="F126" s="33">
        <f>'Memória de Cálculo '!F161</f>
        <v>601.66</v>
      </c>
      <c r="G126" s="37">
        <v>17.46</v>
      </c>
      <c r="H126" s="38">
        <f t="shared" si="2"/>
        <v>22.336578000000003</v>
      </c>
      <c r="I126" s="83">
        <f>F126*H126</f>
        <v>13439.025519480001</v>
      </c>
    </row>
    <row r="127" spans="1:10" s="3" customFormat="1" ht="22.5" x14ac:dyDescent="0.2">
      <c r="A127" s="82" t="s">
        <v>399</v>
      </c>
      <c r="B127" s="29" t="s">
        <v>236</v>
      </c>
      <c r="C127" s="29" t="s">
        <v>12</v>
      </c>
      <c r="D127" s="44" t="s">
        <v>237</v>
      </c>
      <c r="E127" s="22" t="s">
        <v>6</v>
      </c>
      <c r="F127" s="33">
        <f>'Memória de Cálculo '!F162</f>
        <v>601.66</v>
      </c>
      <c r="G127" s="37">
        <v>11.5</v>
      </c>
      <c r="H127" s="38">
        <f t="shared" si="2"/>
        <v>14.711950000000002</v>
      </c>
      <c r="I127" s="83">
        <f t="shared" ref="I127" si="80">F127*H127</f>
        <v>8851.5918369999999</v>
      </c>
    </row>
    <row r="128" spans="1:10" s="3" customFormat="1" ht="15" customHeight="1" x14ac:dyDescent="0.2">
      <c r="A128" s="86" t="s">
        <v>400</v>
      </c>
      <c r="B128" s="39"/>
      <c r="C128" s="39"/>
      <c r="D128" s="36" t="s">
        <v>81</v>
      </c>
      <c r="E128" s="36"/>
      <c r="F128" s="63"/>
      <c r="G128" s="64"/>
      <c r="H128" s="112"/>
      <c r="I128" s="116"/>
    </row>
    <row r="129" spans="1:10" s="3" customFormat="1" ht="15" customHeight="1" x14ac:dyDescent="0.2">
      <c r="A129" s="80" t="s">
        <v>401</v>
      </c>
      <c r="B129" s="39"/>
      <c r="C129" s="39"/>
      <c r="D129" s="36" t="s">
        <v>82</v>
      </c>
      <c r="E129" s="36"/>
      <c r="F129" s="63"/>
      <c r="G129" s="64"/>
      <c r="H129" s="112"/>
      <c r="I129" s="81">
        <f>SUM(I130:I133)</f>
        <v>18498.630071300002</v>
      </c>
      <c r="J129" s="14"/>
    </row>
    <row r="130" spans="1:10" s="3" customFormat="1" ht="45" x14ac:dyDescent="0.2">
      <c r="A130" s="82" t="s">
        <v>402</v>
      </c>
      <c r="B130" s="29">
        <v>91313</v>
      </c>
      <c r="C130" s="29" t="s">
        <v>12</v>
      </c>
      <c r="D130" s="21" t="s">
        <v>238</v>
      </c>
      <c r="E130" s="22" t="s">
        <v>20</v>
      </c>
      <c r="F130" s="23">
        <f>'Memória de Cálculo '!F165</f>
        <v>4</v>
      </c>
      <c r="G130" s="114">
        <v>591.07000000000005</v>
      </c>
      <c r="H130" s="114">
        <f t="shared" ref="H130:H133" si="81">G130*1.2865</f>
        <v>760.41155500000002</v>
      </c>
      <c r="I130" s="117">
        <f t="shared" ref="I130:I133" si="82">F130*H130</f>
        <v>3041.6462200000001</v>
      </c>
    </row>
    <row r="131" spans="1:10" s="3" customFormat="1" ht="45" x14ac:dyDescent="0.2">
      <c r="A131" s="82" t="s">
        <v>470</v>
      </c>
      <c r="B131" s="29" t="s">
        <v>239</v>
      </c>
      <c r="C131" s="29" t="s">
        <v>12</v>
      </c>
      <c r="D131" s="21" t="s">
        <v>240</v>
      </c>
      <c r="E131" s="22" t="s">
        <v>20</v>
      </c>
      <c r="F131" s="23">
        <f>'Memória de Cálculo '!F166</f>
        <v>8</v>
      </c>
      <c r="G131" s="114">
        <v>612.71</v>
      </c>
      <c r="H131" s="114">
        <f t="shared" si="81"/>
        <v>788.25141500000007</v>
      </c>
      <c r="I131" s="117">
        <f t="shared" si="82"/>
        <v>6306.0113200000005</v>
      </c>
    </row>
    <row r="132" spans="1:10" s="3" customFormat="1" ht="45" x14ac:dyDescent="0.2">
      <c r="A132" s="82" t="s">
        <v>471</v>
      </c>
      <c r="B132" s="29" t="s">
        <v>241</v>
      </c>
      <c r="C132" s="29" t="s">
        <v>12</v>
      </c>
      <c r="D132" s="21" t="s">
        <v>242</v>
      </c>
      <c r="E132" s="22" t="s">
        <v>20</v>
      </c>
      <c r="F132" s="23">
        <f>'Memória de Cálculo '!F167</f>
        <v>9</v>
      </c>
      <c r="G132" s="114">
        <v>640.41999999999996</v>
      </c>
      <c r="H132" s="114">
        <f t="shared" si="81"/>
        <v>823.90032999999994</v>
      </c>
      <c r="I132" s="117">
        <f t="shared" si="82"/>
        <v>7415.1029699999999</v>
      </c>
    </row>
    <row r="133" spans="1:10" s="3" customFormat="1" ht="22.5" x14ac:dyDescent="0.2">
      <c r="A133" s="82" t="s">
        <v>472</v>
      </c>
      <c r="B133" s="29" t="s">
        <v>243</v>
      </c>
      <c r="C133" s="29" t="s">
        <v>12</v>
      </c>
      <c r="D133" s="21" t="s">
        <v>244</v>
      </c>
      <c r="E133" s="22" t="s">
        <v>6</v>
      </c>
      <c r="F133" s="23">
        <f>'Memória de Cálculo '!F168</f>
        <v>72.66</v>
      </c>
      <c r="G133" s="114">
        <v>18.57</v>
      </c>
      <c r="H133" s="114">
        <f t="shared" si="81"/>
        <v>23.890305000000001</v>
      </c>
      <c r="I133" s="117">
        <f t="shared" si="82"/>
        <v>1735.8695613</v>
      </c>
      <c r="J133" s="14"/>
    </row>
    <row r="134" spans="1:10" s="3" customFormat="1" ht="15" customHeight="1" x14ac:dyDescent="0.2">
      <c r="A134" s="80" t="s">
        <v>403</v>
      </c>
      <c r="B134" s="39"/>
      <c r="C134" s="39"/>
      <c r="D134" s="36" t="s">
        <v>346</v>
      </c>
      <c r="E134" s="36"/>
      <c r="F134" s="63"/>
      <c r="G134" s="64"/>
      <c r="H134" s="112"/>
      <c r="I134" s="81">
        <f>SUM(I135:I142)</f>
        <v>85229.324734449998</v>
      </c>
      <c r="J134" s="14"/>
    </row>
    <row r="135" spans="1:10" s="3" customFormat="1" ht="22.5" x14ac:dyDescent="0.2">
      <c r="A135" s="82" t="s">
        <v>473</v>
      </c>
      <c r="B135" s="29">
        <v>91338</v>
      </c>
      <c r="C135" s="29" t="s">
        <v>12</v>
      </c>
      <c r="D135" s="21" t="s">
        <v>349</v>
      </c>
      <c r="E135" s="22" t="s">
        <v>6</v>
      </c>
      <c r="F135" s="23">
        <f>'Memória de Cálculo '!F171+'Memória de Cálculo '!F172</f>
        <v>33.480000000000004</v>
      </c>
      <c r="G135" s="114">
        <v>522.97</v>
      </c>
      <c r="H135" s="114">
        <f t="shared" ref="H135:H137" si="83">G135*1.2865</f>
        <v>672.80090500000006</v>
      </c>
      <c r="I135" s="117">
        <f t="shared" ref="I135:I137" si="84">F135*H135</f>
        <v>22525.374299400006</v>
      </c>
      <c r="J135" s="14"/>
    </row>
    <row r="136" spans="1:10" s="3" customFormat="1" ht="22.5" x14ac:dyDescent="0.2">
      <c r="A136" s="82" t="s">
        <v>474</v>
      </c>
      <c r="B136" s="29">
        <v>12797</v>
      </c>
      <c r="C136" s="29" t="s">
        <v>23</v>
      </c>
      <c r="D136" s="21" t="s">
        <v>702</v>
      </c>
      <c r="E136" s="22" t="s">
        <v>6</v>
      </c>
      <c r="F136" s="23">
        <f>'Memória de Cálculo '!F173+'Memória de Cálculo '!F174</f>
        <v>11.55</v>
      </c>
      <c r="G136" s="114">
        <v>280</v>
      </c>
      <c r="H136" s="114">
        <f t="shared" si="83"/>
        <v>360.21999999999997</v>
      </c>
      <c r="I136" s="117">
        <f t="shared" si="84"/>
        <v>4160.5410000000002</v>
      </c>
      <c r="J136" s="14"/>
    </row>
    <row r="137" spans="1:10" s="3" customFormat="1" ht="11.25" x14ac:dyDescent="0.2">
      <c r="A137" s="82" t="s">
        <v>475</v>
      </c>
      <c r="B137" s="29">
        <v>739334</v>
      </c>
      <c r="C137" s="29" t="s">
        <v>23</v>
      </c>
      <c r="D137" s="21" t="s">
        <v>350</v>
      </c>
      <c r="E137" s="22" t="s">
        <v>6</v>
      </c>
      <c r="F137" s="23">
        <f>'Memória de Cálculo '!F175</f>
        <v>3.3600000000000003</v>
      </c>
      <c r="G137" s="114">
        <v>439.33</v>
      </c>
      <c r="H137" s="114">
        <f t="shared" si="83"/>
        <v>565.19804499999998</v>
      </c>
      <c r="I137" s="117">
        <f t="shared" si="84"/>
        <v>1899.0654312000001</v>
      </c>
      <c r="J137" s="14"/>
    </row>
    <row r="138" spans="1:10" s="3" customFormat="1" ht="11.25" x14ac:dyDescent="0.2">
      <c r="A138" s="82" t="s">
        <v>476</v>
      </c>
      <c r="B138" s="29">
        <v>11940</v>
      </c>
      <c r="C138" s="29" t="s">
        <v>23</v>
      </c>
      <c r="D138" s="21" t="s">
        <v>703</v>
      </c>
      <c r="E138" s="22" t="s">
        <v>6</v>
      </c>
      <c r="F138" s="23">
        <f>'Memória de Cálculo '!F177+'Memória de Cálculo '!F176</f>
        <v>12.090000000000002</v>
      </c>
      <c r="G138" s="114">
        <v>295.95999999999998</v>
      </c>
      <c r="H138" s="114">
        <f t="shared" ref="H138" si="85">G138*1.2865</f>
        <v>380.75253999999995</v>
      </c>
      <c r="I138" s="117">
        <f t="shared" ref="I138" si="86">F138*H138</f>
        <v>4603.2982086000002</v>
      </c>
      <c r="J138" s="14"/>
    </row>
    <row r="139" spans="1:10" s="3" customFormat="1" ht="11.25" x14ac:dyDescent="0.2">
      <c r="A139" s="82" t="s">
        <v>477</v>
      </c>
      <c r="B139" s="29">
        <v>11941</v>
      </c>
      <c r="C139" s="29" t="s">
        <v>23</v>
      </c>
      <c r="D139" s="21" t="s">
        <v>704</v>
      </c>
      <c r="E139" s="22" t="s">
        <v>6</v>
      </c>
      <c r="F139" s="23">
        <f>'Memória de Cálculo '!F178+'Memória de Cálculo '!F179</f>
        <v>11.92</v>
      </c>
      <c r="G139" s="114">
        <v>265.95999999999998</v>
      </c>
      <c r="H139" s="114">
        <f t="shared" ref="H139:H142" si="87">G139*1.2865</f>
        <v>342.15753999999998</v>
      </c>
      <c r="I139" s="117">
        <f t="shared" ref="I139:I142" si="88">F139*H139</f>
        <v>4078.5178767999996</v>
      </c>
    </row>
    <row r="140" spans="1:10" s="3" customFormat="1" ht="11.25" x14ac:dyDescent="0.2">
      <c r="A140" s="82" t="s">
        <v>478</v>
      </c>
      <c r="B140" s="29">
        <v>85010</v>
      </c>
      <c r="C140" s="29" t="s">
        <v>12</v>
      </c>
      <c r="D140" s="21" t="s">
        <v>354</v>
      </c>
      <c r="E140" s="22" t="s">
        <v>6</v>
      </c>
      <c r="F140" s="23">
        <f>'Memória de Cálculo '!F180</f>
        <v>8.4</v>
      </c>
      <c r="G140" s="114">
        <v>192.21</v>
      </c>
      <c r="H140" s="114">
        <f>G140*1.2865</f>
        <v>247.278165</v>
      </c>
      <c r="I140" s="117">
        <f>F140*H140</f>
        <v>2077.1365860000001</v>
      </c>
    </row>
    <row r="141" spans="1:10" s="3" customFormat="1" ht="33.75" x14ac:dyDescent="0.2">
      <c r="A141" s="82" t="s">
        <v>479</v>
      </c>
      <c r="B141" s="29">
        <v>7975</v>
      </c>
      <c r="C141" s="29" t="s">
        <v>23</v>
      </c>
      <c r="D141" s="21" t="s">
        <v>368</v>
      </c>
      <c r="E141" s="22" t="s">
        <v>6</v>
      </c>
      <c r="F141" s="23">
        <f>'Memória de Cálculo '!F181</f>
        <v>152.88000000000002</v>
      </c>
      <c r="G141" s="114">
        <v>227.83</v>
      </c>
      <c r="H141" s="114">
        <f>G141*1.2865</f>
        <v>293.103295</v>
      </c>
      <c r="I141" s="117">
        <f>F141*H141</f>
        <v>44809.631739600009</v>
      </c>
    </row>
    <row r="142" spans="1:10" s="3" customFormat="1" ht="11.25" x14ac:dyDescent="0.2">
      <c r="A142" s="82" t="s">
        <v>480</v>
      </c>
      <c r="B142" s="29" t="s">
        <v>352</v>
      </c>
      <c r="C142" s="29" t="s">
        <v>12</v>
      </c>
      <c r="D142" s="21" t="s">
        <v>351</v>
      </c>
      <c r="E142" s="22" t="s">
        <v>6</v>
      </c>
      <c r="F142" s="23">
        <f>'Memória de Cálculo '!F182</f>
        <v>39.99</v>
      </c>
      <c r="G142" s="114">
        <v>20.91</v>
      </c>
      <c r="H142" s="114">
        <f t="shared" si="87"/>
        <v>26.900714999999998</v>
      </c>
      <c r="I142" s="117">
        <f t="shared" si="88"/>
        <v>1075.75959285</v>
      </c>
    </row>
    <row r="143" spans="1:10" s="3" customFormat="1" ht="15" customHeight="1" x14ac:dyDescent="0.2">
      <c r="A143" s="80" t="s">
        <v>404</v>
      </c>
      <c r="B143" s="39"/>
      <c r="C143" s="39"/>
      <c r="D143" s="36" t="s">
        <v>345</v>
      </c>
      <c r="E143" s="36"/>
      <c r="F143" s="63"/>
      <c r="G143" s="64"/>
      <c r="H143" s="112"/>
      <c r="I143" s="81">
        <f>SUM(I144:I145)</f>
        <v>7704.58258045</v>
      </c>
      <c r="J143" s="14"/>
    </row>
    <row r="144" spans="1:10" s="3" customFormat="1" ht="22.5" x14ac:dyDescent="0.2">
      <c r="A144" s="82" t="s">
        <v>468</v>
      </c>
      <c r="B144" s="29">
        <v>72118</v>
      </c>
      <c r="C144" s="29" t="s">
        <v>12</v>
      </c>
      <c r="D144" s="21" t="s">
        <v>355</v>
      </c>
      <c r="E144" s="22" t="s">
        <v>6</v>
      </c>
      <c r="F144" s="23">
        <f>'Memória de Cálculo '!F184</f>
        <v>16.8</v>
      </c>
      <c r="G144" s="114">
        <v>171.07</v>
      </c>
      <c r="H144" s="114">
        <f t="shared" ref="H144" si="89">G144*1.2865</f>
        <v>220.08155499999998</v>
      </c>
      <c r="I144" s="117">
        <f t="shared" ref="I144" si="90">F144*H144</f>
        <v>3697.370124</v>
      </c>
    </row>
    <row r="145" spans="1:10" s="3" customFormat="1" ht="11.25" x14ac:dyDescent="0.2">
      <c r="A145" s="82" t="s">
        <v>469</v>
      </c>
      <c r="B145" s="29">
        <v>72117</v>
      </c>
      <c r="C145" s="29" t="s">
        <v>12</v>
      </c>
      <c r="D145" s="21" t="s">
        <v>353</v>
      </c>
      <c r="E145" s="22" t="s">
        <v>6</v>
      </c>
      <c r="F145" s="23">
        <f>'Memória de Cálculo '!F185</f>
        <v>24.01</v>
      </c>
      <c r="G145" s="114">
        <v>129.72999999999999</v>
      </c>
      <c r="H145" s="114">
        <f t="shared" ref="H145" si="91">G145*1.2865</f>
        <v>166.89764499999998</v>
      </c>
      <c r="I145" s="117">
        <f t="shared" ref="I145" si="92">F145*H145</f>
        <v>4007.21245645</v>
      </c>
    </row>
    <row r="146" spans="1:10" s="3" customFormat="1" ht="11.25" x14ac:dyDescent="0.2">
      <c r="A146" s="86" t="s">
        <v>405</v>
      </c>
      <c r="B146" s="39"/>
      <c r="C146" s="39"/>
      <c r="D146" s="36" t="s">
        <v>41</v>
      </c>
      <c r="E146" s="56"/>
      <c r="F146" s="56"/>
      <c r="G146" s="41"/>
      <c r="H146" s="42"/>
      <c r="I146" s="85"/>
    </row>
    <row r="147" spans="1:10" s="3" customFormat="1" ht="11.25" x14ac:dyDescent="0.2">
      <c r="A147" s="80" t="s">
        <v>406</v>
      </c>
      <c r="B147" s="39"/>
      <c r="C147" s="39"/>
      <c r="D147" s="36" t="s">
        <v>39</v>
      </c>
      <c r="E147" s="56"/>
      <c r="F147" s="56"/>
      <c r="G147" s="41"/>
      <c r="H147" s="42"/>
      <c r="I147" s="85">
        <f>SUM(I148:I155)</f>
        <v>23399.631913407204</v>
      </c>
    </row>
    <row r="148" spans="1:10" s="3" customFormat="1" ht="22.5" x14ac:dyDescent="0.2">
      <c r="A148" s="82" t="s">
        <v>460</v>
      </c>
      <c r="B148" s="29">
        <v>3278</v>
      </c>
      <c r="C148" s="162" t="s">
        <v>23</v>
      </c>
      <c r="D148" s="44" t="s">
        <v>292</v>
      </c>
      <c r="E148" s="22" t="s">
        <v>294</v>
      </c>
      <c r="F148" s="23">
        <f>'Memória de Cálculo '!F188</f>
        <v>24</v>
      </c>
      <c r="G148" s="37">
        <v>134.22999999999999</v>
      </c>
      <c r="H148" s="38">
        <f t="shared" ref="H148:H186" si="93">G148*($F$2+1)</f>
        <v>171.720439</v>
      </c>
      <c r="I148" s="83">
        <f t="shared" ref="I148:I187" si="94">F148*H148</f>
        <v>4121.2905360000004</v>
      </c>
      <c r="J148" s="14"/>
    </row>
    <row r="149" spans="1:10" s="3" customFormat="1" ht="22.5" x14ac:dyDescent="0.2">
      <c r="A149" s="82" t="s">
        <v>461</v>
      </c>
      <c r="B149" s="29">
        <v>3281</v>
      </c>
      <c r="C149" s="162" t="s">
        <v>23</v>
      </c>
      <c r="D149" s="44" t="s">
        <v>295</v>
      </c>
      <c r="E149" s="22" t="s">
        <v>294</v>
      </c>
      <c r="F149" s="23">
        <f>'Memória de Cálculo '!F189</f>
        <v>4</v>
      </c>
      <c r="G149" s="37">
        <v>137.47</v>
      </c>
      <c r="H149" s="38">
        <f t="shared" si="93"/>
        <v>175.86537100000001</v>
      </c>
      <c r="I149" s="83">
        <f t="shared" si="94"/>
        <v>703.46148400000004</v>
      </c>
      <c r="J149" s="14"/>
    </row>
    <row r="150" spans="1:10" s="3" customFormat="1" ht="22.5" x14ac:dyDescent="0.2">
      <c r="A150" s="82" t="s">
        <v>462</v>
      </c>
      <c r="B150" s="29">
        <v>3287</v>
      </c>
      <c r="C150" s="162" t="s">
        <v>23</v>
      </c>
      <c r="D150" s="44" t="s">
        <v>293</v>
      </c>
      <c r="E150" s="22" t="s">
        <v>294</v>
      </c>
      <c r="F150" s="23">
        <f>'Memória de Cálculo '!F190</f>
        <v>2</v>
      </c>
      <c r="G150" s="37">
        <v>143.65</v>
      </c>
      <c r="H150" s="38">
        <f t="shared" si="93"/>
        <v>183.77144500000003</v>
      </c>
      <c r="I150" s="83">
        <f t="shared" si="94"/>
        <v>367.54289000000006</v>
      </c>
    </row>
    <row r="151" spans="1:10" s="3" customFormat="1" ht="22.5" x14ac:dyDescent="0.2">
      <c r="A151" s="82" t="s">
        <v>463</v>
      </c>
      <c r="B151" s="29">
        <v>93141</v>
      </c>
      <c r="C151" s="29" t="s">
        <v>12</v>
      </c>
      <c r="D151" s="44" t="s">
        <v>275</v>
      </c>
      <c r="E151" s="22" t="s">
        <v>294</v>
      </c>
      <c r="F151" s="23">
        <f>'Memória de Cálculo '!F191</f>
        <v>29</v>
      </c>
      <c r="G151" s="37">
        <v>124.89</v>
      </c>
      <c r="H151" s="38">
        <f t="shared" si="93"/>
        <v>159.77177700000001</v>
      </c>
      <c r="I151" s="83">
        <f t="shared" si="94"/>
        <v>4633.3815330000007</v>
      </c>
    </row>
    <row r="152" spans="1:10" s="3" customFormat="1" ht="22.5" x14ac:dyDescent="0.2">
      <c r="A152" s="82" t="s">
        <v>464</v>
      </c>
      <c r="B152" s="29">
        <v>93143</v>
      </c>
      <c r="C152" s="29" t="s">
        <v>12</v>
      </c>
      <c r="D152" s="44" t="s">
        <v>276</v>
      </c>
      <c r="E152" s="22" t="s">
        <v>294</v>
      </c>
      <c r="F152" s="23">
        <f>'Memória de Cálculo '!F192</f>
        <v>10</v>
      </c>
      <c r="G152" s="37">
        <v>126.74</v>
      </c>
      <c r="H152" s="38">
        <f t="shared" ref="H152:H153" si="95">G152*($F$2+1)</f>
        <v>162.13848200000001</v>
      </c>
      <c r="I152" s="83">
        <f t="shared" ref="I152:I153" si="96">F152*H152</f>
        <v>1621.3848200000002</v>
      </c>
    </row>
    <row r="153" spans="1:10" s="3" customFormat="1" ht="33.75" x14ac:dyDescent="0.2">
      <c r="A153" s="82" t="s">
        <v>465</v>
      </c>
      <c r="B153" s="29">
        <v>93128</v>
      </c>
      <c r="C153" s="29" t="s">
        <v>12</v>
      </c>
      <c r="D153" s="44" t="s">
        <v>296</v>
      </c>
      <c r="E153" s="22" t="s">
        <v>294</v>
      </c>
      <c r="F153" s="23">
        <f>'Memória de Cálculo '!F193</f>
        <v>52</v>
      </c>
      <c r="G153" s="37">
        <v>103.99</v>
      </c>
      <c r="H153" s="38">
        <f t="shared" si="95"/>
        <v>133.03440700000002</v>
      </c>
      <c r="I153" s="83">
        <f t="shared" si="96"/>
        <v>6917.7891640000007</v>
      </c>
      <c r="J153" s="14"/>
    </row>
    <row r="154" spans="1:10" s="3" customFormat="1" ht="22.5" x14ac:dyDescent="0.2">
      <c r="A154" s="82" t="s">
        <v>466</v>
      </c>
      <c r="B154" s="29">
        <f>Composições!B44</f>
        <v>8</v>
      </c>
      <c r="C154" s="29" t="s">
        <v>76</v>
      </c>
      <c r="D154" s="44" t="str">
        <f>Composições!D44</f>
        <v>LUMINÁRIA TIPO PLAFON EM PLÁSTICO, DE SOBREPOR, COM 1 LÂMPADA DE 20 W, - FORNECIMENTO E INSTALAÇÃO. AF_11/2017</v>
      </c>
      <c r="E154" s="22" t="s">
        <v>246</v>
      </c>
      <c r="F154" s="23">
        <f>'Memória de Cálculo '!F194</f>
        <v>14</v>
      </c>
      <c r="G154" s="37">
        <f>Composições!H44</f>
        <v>31.018235999999995</v>
      </c>
      <c r="H154" s="38">
        <f t="shared" ref="H154:H155" si="97">G154*($F$2+1)</f>
        <v>39.681629314799999</v>
      </c>
      <c r="I154" s="83">
        <f t="shared" ref="I154:I155" si="98">F154*H154</f>
        <v>555.54281040720002</v>
      </c>
      <c r="J154" s="14"/>
    </row>
    <row r="155" spans="1:10" s="3" customFormat="1" ht="22.5" x14ac:dyDescent="0.2">
      <c r="A155" s="82" t="s">
        <v>467</v>
      </c>
      <c r="B155" s="29">
        <v>97586</v>
      </c>
      <c r="C155" s="29" t="s">
        <v>12</v>
      </c>
      <c r="D155" s="44" t="s">
        <v>306</v>
      </c>
      <c r="E155" s="22" t="s">
        <v>246</v>
      </c>
      <c r="F155" s="23">
        <f>'Memória de Cálculo '!F195</f>
        <v>38</v>
      </c>
      <c r="G155" s="37">
        <v>92.14</v>
      </c>
      <c r="H155" s="38">
        <f t="shared" si="97"/>
        <v>117.87470200000001</v>
      </c>
      <c r="I155" s="83">
        <f t="shared" si="98"/>
        <v>4479.2386760000009</v>
      </c>
      <c r="J155" s="14"/>
    </row>
    <row r="156" spans="1:10" s="3" customFormat="1" ht="11.25" x14ac:dyDescent="0.2">
      <c r="A156" s="80" t="s">
        <v>407</v>
      </c>
      <c r="B156" s="39"/>
      <c r="C156" s="39"/>
      <c r="D156" s="36" t="s">
        <v>18</v>
      </c>
      <c r="E156" s="56"/>
      <c r="F156" s="56"/>
      <c r="G156" s="41"/>
      <c r="H156" s="42"/>
      <c r="I156" s="85">
        <f>SUM(I157:I163)</f>
        <v>7117.3855500000009</v>
      </c>
      <c r="J156" s="14"/>
    </row>
    <row r="157" spans="1:10" s="3" customFormat="1" ht="33.75" x14ac:dyDescent="0.2">
      <c r="A157" s="82" t="s">
        <v>453</v>
      </c>
      <c r="B157" s="29" t="s">
        <v>277</v>
      </c>
      <c r="C157" s="29" t="s">
        <v>12</v>
      </c>
      <c r="D157" s="44" t="s">
        <v>278</v>
      </c>
      <c r="E157" s="22" t="s">
        <v>246</v>
      </c>
      <c r="F157" s="23">
        <f>'Memória de Cálculo '!F197</f>
        <v>2</v>
      </c>
      <c r="G157" s="37">
        <v>319.16000000000003</v>
      </c>
      <c r="H157" s="38">
        <f t="shared" si="93"/>
        <v>408.30138800000009</v>
      </c>
      <c r="I157" s="83">
        <f t="shared" si="94"/>
        <v>816.60277600000018</v>
      </c>
      <c r="J157" s="14"/>
    </row>
    <row r="158" spans="1:10" s="3" customFormat="1" ht="11.25" x14ac:dyDescent="0.2">
      <c r="A158" s="82" t="s">
        <v>454</v>
      </c>
      <c r="B158" s="29">
        <v>11415</v>
      </c>
      <c r="C158" s="29" t="s">
        <v>23</v>
      </c>
      <c r="D158" s="48" t="s">
        <v>291</v>
      </c>
      <c r="E158" s="22" t="s">
        <v>246</v>
      </c>
      <c r="F158" s="23">
        <f>'Memória de Cálculo '!F198</f>
        <v>23</v>
      </c>
      <c r="G158" s="47">
        <v>17.64</v>
      </c>
      <c r="H158" s="38">
        <f t="shared" si="93"/>
        <v>22.566852000000001</v>
      </c>
      <c r="I158" s="83">
        <f t="shared" si="94"/>
        <v>519.03759600000001</v>
      </c>
      <c r="J158" s="14"/>
    </row>
    <row r="159" spans="1:10" s="3" customFormat="1" ht="11.25" x14ac:dyDescent="0.2">
      <c r="A159" s="82" t="s">
        <v>455</v>
      </c>
      <c r="B159" s="29">
        <v>10793</v>
      </c>
      <c r="C159" s="29" t="s">
        <v>23</v>
      </c>
      <c r="D159" s="44" t="s">
        <v>290</v>
      </c>
      <c r="E159" s="22" t="s">
        <v>246</v>
      </c>
      <c r="F159" s="23">
        <f>'Memória de Cálculo '!F199</f>
        <v>1</v>
      </c>
      <c r="G159" s="37">
        <v>10.220000000000001</v>
      </c>
      <c r="H159" s="38">
        <f t="shared" si="93"/>
        <v>13.074446000000002</v>
      </c>
      <c r="I159" s="83">
        <f t="shared" si="94"/>
        <v>13.074446000000002</v>
      </c>
    </row>
    <row r="160" spans="1:10" s="3" customFormat="1" ht="11.25" x14ac:dyDescent="0.2">
      <c r="A160" s="82" t="s">
        <v>456</v>
      </c>
      <c r="B160" s="29">
        <v>339</v>
      </c>
      <c r="C160" s="29" t="s">
        <v>23</v>
      </c>
      <c r="D160" s="44" t="s">
        <v>279</v>
      </c>
      <c r="E160" s="22" t="s">
        <v>246</v>
      </c>
      <c r="F160" s="23">
        <f>'Memória de Cálculo '!F200</f>
        <v>1</v>
      </c>
      <c r="G160" s="37">
        <v>347.24</v>
      </c>
      <c r="H160" s="38">
        <f t="shared" ref="H160:H163" si="99">G160*($F$2+1)</f>
        <v>444.22413200000005</v>
      </c>
      <c r="I160" s="83">
        <f t="shared" ref="I160:I163" si="100">F160*H160</f>
        <v>444.22413200000005</v>
      </c>
    </row>
    <row r="161" spans="1:9" s="3" customFormat="1" ht="11.25" x14ac:dyDescent="0.2">
      <c r="A161" s="82" t="s">
        <v>457</v>
      </c>
      <c r="B161" s="29">
        <v>11386</v>
      </c>
      <c r="C161" s="29" t="s">
        <v>23</v>
      </c>
      <c r="D161" s="44" t="s">
        <v>289</v>
      </c>
      <c r="E161" s="22" t="s">
        <v>246</v>
      </c>
      <c r="F161" s="23">
        <f>'Memória de Cálculo '!F201</f>
        <v>1</v>
      </c>
      <c r="G161" s="37">
        <v>1765.43</v>
      </c>
      <c r="H161" s="38">
        <f t="shared" si="99"/>
        <v>2258.5145990000001</v>
      </c>
      <c r="I161" s="83">
        <f t="shared" si="100"/>
        <v>2258.5145990000001</v>
      </c>
    </row>
    <row r="162" spans="1:9" s="3" customFormat="1" ht="22.5" x14ac:dyDescent="0.2">
      <c r="A162" s="82" t="s">
        <v>458</v>
      </c>
      <c r="B162" s="29" t="s">
        <v>280</v>
      </c>
      <c r="C162" s="29" t="s">
        <v>12</v>
      </c>
      <c r="D162" s="44" t="s">
        <v>281</v>
      </c>
      <c r="E162" s="22" t="s">
        <v>246</v>
      </c>
      <c r="F162" s="23">
        <f>'Memória de Cálculo '!F202</f>
        <v>3</v>
      </c>
      <c r="G162" s="37">
        <v>119.13</v>
      </c>
      <c r="H162" s="38">
        <f t="shared" si="99"/>
        <v>152.403009</v>
      </c>
      <c r="I162" s="83">
        <f t="shared" si="100"/>
        <v>457.20902699999999</v>
      </c>
    </row>
    <row r="163" spans="1:9" s="3" customFormat="1" ht="22.5" x14ac:dyDescent="0.2">
      <c r="A163" s="82" t="s">
        <v>459</v>
      </c>
      <c r="B163" s="29" t="s">
        <v>282</v>
      </c>
      <c r="C163" s="29" t="s">
        <v>12</v>
      </c>
      <c r="D163" s="44" t="s">
        <v>283</v>
      </c>
      <c r="E163" s="22" t="s">
        <v>246</v>
      </c>
      <c r="F163" s="23">
        <f>'Memória de Cálculo '!F203</f>
        <v>23</v>
      </c>
      <c r="G163" s="37">
        <v>88.66</v>
      </c>
      <c r="H163" s="38">
        <f t="shared" si="99"/>
        <v>113.42273800000001</v>
      </c>
      <c r="I163" s="83">
        <f t="shared" si="100"/>
        <v>2608.7229740000002</v>
      </c>
    </row>
    <row r="164" spans="1:9" s="3" customFormat="1" ht="11.25" x14ac:dyDescent="0.2">
      <c r="A164" s="86" t="s">
        <v>408</v>
      </c>
      <c r="B164" s="39"/>
      <c r="C164" s="39"/>
      <c r="D164" s="36" t="s">
        <v>46</v>
      </c>
      <c r="E164" s="56"/>
      <c r="F164" s="56"/>
      <c r="G164" s="41"/>
      <c r="H164" s="42"/>
      <c r="I164" s="85"/>
    </row>
    <row r="165" spans="1:9" s="3" customFormat="1" ht="11.25" x14ac:dyDescent="0.2">
      <c r="A165" s="80" t="s">
        <v>409</v>
      </c>
      <c r="B165" s="39"/>
      <c r="C165" s="39"/>
      <c r="D165" s="36" t="s">
        <v>268</v>
      </c>
      <c r="E165" s="56"/>
      <c r="F165" s="56"/>
      <c r="G165" s="41"/>
      <c r="H165" s="42"/>
      <c r="I165" s="85">
        <f>SUM(I166:I178)</f>
        <v>26244.903465000003</v>
      </c>
    </row>
    <row r="166" spans="1:9" s="3" customFormat="1" ht="11.25" customHeight="1" x14ac:dyDescent="0.2">
      <c r="A166" s="82" t="s">
        <v>440</v>
      </c>
      <c r="B166" s="29">
        <v>11696</v>
      </c>
      <c r="C166" s="29" t="s">
        <v>12</v>
      </c>
      <c r="D166" s="21" t="s">
        <v>330</v>
      </c>
      <c r="E166" s="22" t="s">
        <v>246</v>
      </c>
      <c r="F166" s="23">
        <f>'Memória de Cálculo '!F209</f>
        <v>16</v>
      </c>
      <c r="G166" s="37">
        <v>112.25</v>
      </c>
      <c r="H166" s="38">
        <f t="shared" si="93"/>
        <v>143.60142500000001</v>
      </c>
      <c r="I166" s="83">
        <f t="shared" si="94"/>
        <v>2297.6228000000001</v>
      </c>
    </row>
    <row r="167" spans="1:9" s="3" customFormat="1" ht="22.5" x14ac:dyDescent="0.2">
      <c r="A167" s="82" t="s">
        <v>441</v>
      </c>
      <c r="B167" s="29">
        <v>1750</v>
      </c>
      <c r="C167" s="29" t="s">
        <v>12</v>
      </c>
      <c r="D167" s="21" t="s">
        <v>331</v>
      </c>
      <c r="E167" s="22" t="s">
        <v>246</v>
      </c>
      <c r="F167" s="23">
        <f>'Memória de Cálculo '!F210</f>
        <v>1</v>
      </c>
      <c r="G167" s="37">
        <v>410.16</v>
      </c>
      <c r="H167" s="38">
        <f t="shared" si="93"/>
        <v>524.71768800000007</v>
      </c>
      <c r="I167" s="83">
        <f t="shared" si="94"/>
        <v>524.71768800000007</v>
      </c>
    </row>
    <row r="168" spans="1:9" s="3" customFormat="1" ht="11.25" x14ac:dyDescent="0.2">
      <c r="A168" s="82" t="s">
        <v>442</v>
      </c>
      <c r="B168" s="29">
        <v>10425</v>
      </c>
      <c r="C168" s="29" t="s">
        <v>12</v>
      </c>
      <c r="D168" s="21" t="s">
        <v>332</v>
      </c>
      <c r="E168" s="22" t="s">
        <v>246</v>
      </c>
      <c r="F168" s="23">
        <f>'Memória de Cálculo '!F211</f>
        <v>4</v>
      </c>
      <c r="G168" s="37">
        <v>71.78</v>
      </c>
      <c r="H168" s="38">
        <f t="shared" si="93"/>
        <v>91.828154000000012</v>
      </c>
      <c r="I168" s="83">
        <f t="shared" si="94"/>
        <v>367.31261600000005</v>
      </c>
    </row>
    <row r="169" spans="1:9" s="3" customFormat="1" ht="33.75" x14ac:dyDescent="0.2">
      <c r="A169" s="82" t="s">
        <v>443</v>
      </c>
      <c r="B169" s="29">
        <v>86931</v>
      </c>
      <c r="C169" s="29" t="s">
        <v>12</v>
      </c>
      <c r="D169" s="44" t="s">
        <v>333</v>
      </c>
      <c r="E169" s="22" t="s">
        <v>246</v>
      </c>
      <c r="F169" s="23">
        <f>'Memória de Cálculo '!F212</f>
        <v>18</v>
      </c>
      <c r="G169" s="37">
        <v>355.71</v>
      </c>
      <c r="H169" s="38">
        <f t="shared" ref="H169:H178" si="101">G169*($F$2+1)</f>
        <v>455.05980299999999</v>
      </c>
      <c r="I169" s="83">
        <f t="shared" ref="I169:I178" si="102">F169*H169</f>
        <v>8191.076454</v>
      </c>
    </row>
    <row r="170" spans="1:9" s="3" customFormat="1" ht="22.5" x14ac:dyDescent="0.2">
      <c r="A170" s="82" t="s">
        <v>444</v>
      </c>
      <c r="B170" s="29">
        <v>8674</v>
      </c>
      <c r="C170" s="29" t="s">
        <v>23</v>
      </c>
      <c r="D170" s="44" t="s">
        <v>705</v>
      </c>
      <c r="E170" s="22" t="s">
        <v>246</v>
      </c>
      <c r="F170" s="23">
        <f>'Memória de Cálculo '!F213</f>
        <v>6</v>
      </c>
      <c r="G170" s="37">
        <v>113.19</v>
      </c>
      <c r="H170" s="38">
        <f t="shared" ref="H170" si="103">G170*($F$2+1)</f>
        <v>144.803967</v>
      </c>
      <c r="I170" s="83">
        <f t="shared" ref="I170" si="104">F170*H170</f>
        <v>868.823802</v>
      </c>
    </row>
    <row r="171" spans="1:9" s="3" customFormat="1" ht="33.75" x14ac:dyDescent="0.2">
      <c r="A171" s="82" t="s">
        <v>445</v>
      </c>
      <c r="B171" s="29">
        <v>95472</v>
      </c>
      <c r="C171" s="29" t="s">
        <v>12</v>
      </c>
      <c r="D171" s="21" t="s">
        <v>334</v>
      </c>
      <c r="E171" s="22" t="s">
        <v>246</v>
      </c>
      <c r="F171" s="23">
        <f>'Memória de Cálculo '!F214</f>
        <v>6</v>
      </c>
      <c r="G171" s="37">
        <v>607.45000000000005</v>
      </c>
      <c r="H171" s="38">
        <f t="shared" si="101"/>
        <v>777.11078500000008</v>
      </c>
      <c r="I171" s="83">
        <f t="shared" si="102"/>
        <v>4662.6647100000009</v>
      </c>
    </row>
    <row r="172" spans="1:9" s="3" customFormat="1" ht="11.25" x14ac:dyDescent="0.2">
      <c r="A172" s="82" t="s">
        <v>446</v>
      </c>
      <c r="B172" s="29">
        <v>377</v>
      </c>
      <c r="C172" s="29" t="s">
        <v>12</v>
      </c>
      <c r="D172" s="21" t="s">
        <v>335</v>
      </c>
      <c r="E172" s="22" t="s">
        <v>246</v>
      </c>
      <c r="F172" s="23">
        <f>'Memória de Cálculo '!F215</f>
        <v>18</v>
      </c>
      <c r="G172" s="37">
        <v>23</v>
      </c>
      <c r="H172" s="38">
        <f t="shared" si="101"/>
        <v>29.423900000000003</v>
      </c>
      <c r="I172" s="83">
        <f t="shared" si="102"/>
        <v>529.63020000000006</v>
      </c>
    </row>
    <row r="173" spans="1:9" s="3" customFormat="1" ht="22.5" x14ac:dyDescent="0.2">
      <c r="A173" s="82" t="s">
        <v>447</v>
      </c>
      <c r="B173" s="29">
        <v>13241</v>
      </c>
      <c r="C173" s="29" t="s">
        <v>23</v>
      </c>
      <c r="D173" s="21" t="s">
        <v>336</v>
      </c>
      <c r="E173" s="22" t="s">
        <v>246</v>
      </c>
      <c r="F173" s="23">
        <f>'Memória de Cálculo '!F216</f>
        <v>6</v>
      </c>
      <c r="G173" s="37">
        <v>116.49</v>
      </c>
      <c r="H173" s="38">
        <f t="shared" ref="H173" si="105">G173*($F$2+1)</f>
        <v>149.025657</v>
      </c>
      <c r="I173" s="83">
        <f t="shared" ref="I173" si="106">F173*H173</f>
        <v>894.15394199999992</v>
      </c>
    </row>
    <row r="174" spans="1:9" s="3" customFormat="1" ht="11.25" x14ac:dyDescent="0.2">
      <c r="A174" s="82" t="s">
        <v>448</v>
      </c>
      <c r="B174" s="29">
        <v>36220</v>
      </c>
      <c r="C174" s="29" t="s">
        <v>12</v>
      </c>
      <c r="D174" s="21" t="s">
        <v>337</v>
      </c>
      <c r="E174" s="22" t="s">
        <v>246</v>
      </c>
      <c r="F174" s="23">
        <f>'Memória de Cálculo '!F217</f>
        <v>6</v>
      </c>
      <c r="G174" s="37">
        <v>106.54</v>
      </c>
      <c r="H174" s="38">
        <f t="shared" si="101"/>
        <v>136.29662200000001</v>
      </c>
      <c r="I174" s="83">
        <f t="shared" si="102"/>
        <v>817.77973200000008</v>
      </c>
    </row>
    <row r="175" spans="1:9" s="3" customFormat="1" ht="11.25" x14ac:dyDescent="0.2">
      <c r="A175" s="82" t="s">
        <v>449</v>
      </c>
      <c r="B175" s="29">
        <v>7608</v>
      </c>
      <c r="C175" s="29" t="s">
        <v>12</v>
      </c>
      <c r="D175" s="21" t="s">
        <v>338</v>
      </c>
      <c r="E175" s="22" t="s">
        <v>246</v>
      </c>
      <c r="F175" s="23">
        <f>'Memória de Cálculo '!F218</f>
        <v>19</v>
      </c>
      <c r="G175" s="37">
        <v>4.29</v>
      </c>
      <c r="H175" s="38">
        <f t="shared" si="101"/>
        <v>5.4881970000000004</v>
      </c>
      <c r="I175" s="83">
        <f t="shared" si="102"/>
        <v>104.27574300000001</v>
      </c>
    </row>
    <row r="176" spans="1:9" s="3" customFormat="1" ht="22.5" x14ac:dyDescent="0.2">
      <c r="A176" s="82" t="s">
        <v>450</v>
      </c>
      <c r="B176" s="29" t="s">
        <v>339</v>
      </c>
      <c r="C176" s="29" t="s">
        <v>23</v>
      </c>
      <c r="D176" s="21" t="s">
        <v>340</v>
      </c>
      <c r="E176" s="22" t="s">
        <v>246</v>
      </c>
      <c r="F176" s="23">
        <f>'Memória de Cálculo '!F219</f>
        <v>18</v>
      </c>
      <c r="G176" s="37">
        <v>257.44</v>
      </c>
      <c r="H176" s="38">
        <f t="shared" si="101"/>
        <v>329.34299200000004</v>
      </c>
      <c r="I176" s="83">
        <f t="shared" si="102"/>
        <v>5928.1738560000003</v>
      </c>
    </row>
    <row r="177" spans="1:10" s="3" customFormat="1" ht="22.5" x14ac:dyDescent="0.2">
      <c r="A177" s="82" t="s">
        <v>451</v>
      </c>
      <c r="B177" s="29" t="s">
        <v>342</v>
      </c>
      <c r="C177" s="29" t="s">
        <v>23</v>
      </c>
      <c r="D177" s="21" t="s">
        <v>343</v>
      </c>
      <c r="E177" s="22" t="s">
        <v>246</v>
      </c>
      <c r="F177" s="23">
        <f>'Memória de Cálculo '!F220</f>
        <v>4</v>
      </c>
      <c r="G177" s="37">
        <v>190.28</v>
      </c>
      <c r="H177" s="38">
        <f t="shared" si="101"/>
        <v>243.42520400000001</v>
      </c>
      <c r="I177" s="83">
        <f t="shared" si="102"/>
        <v>973.70081600000003</v>
      </c>
    </row>
    <row r="178" spans="1:10" s="3" customFormat="1" ht="11.25" x14ac:dyDescent="0.2">
      <c r="A178" s="82" t="s">
        <v>452</v>
      </c>
      <c r="B178" s="29">
        <v>13984</v>
      </c>
      <c r="C178" s="29" t="s">
        <v>12</v>
      </c>
      <c r="D178" s="21" t="s">
        <v>341</v>
      </c>
      <c r="E178" s="22" t="s">
        <v>246</v>
      </c>
      <c r="F178" s="23">
        <f>'Memória de Cálculo '!F221</f>
        <v>2</v>
      </c>
      <c r="G178" s="37">
        <v>33.21</v>
      </c>
      <c r="H178" s="38">
        <f t="shared" si="101"/>
        <v>42.485553000000003</v>
      </c>
      <c r="I178" s="83">
        <f t="shared" si="102"/>
        <v>84.971106000000006</v>
      </c>
    </row>
    <row r="179" spans="1:10" s="3" customFormat="1" ht="15" customHeight="1" x14ac:dyDescent="0.2">
      <c r="A179" s="80" t="s">
        <v>410</v>
      </c>
      <c r="B179" s="39"/>
      <c r="C179" s="39"/>
      <c r="D179" s="36" t="s">
        <v>4</v>
      </c>
      <c r="E179" s="56"/>
      <c r="F179" s="56"/>
      <c r="G179" s="41"/>
      <c r="H179" s="42"/>
      <c r="I179" s="85">
        <f>SUM(I180:I184)</f>
        <v>12549.063075999999</v>
      </c>
    </row>
    <row r="180" spans="1:10" s="3" customFormat="1" ht="33.75" x14ac:dyDescent="0.2">
      <c r="A180" s="82" t="s">
        <v>435</v>
      </c>
      <c r="B180" s="29">
        <v>89957</v>
      </c>
      <c r="C180" s="29" t="s">
        <v>12</v>
      </c>
      <c r="D180" s="44" t="s">
        <v>313</v>
      </c>
      <c r="E180" s="22" t="s">
        <v>246</v>
      </c>
      <c r="F180" s="23">
        <f>'Memória de Cálculo '!F223</f>
        <v>65</v>
      </c>
      <c r="G180" s="37">
        <v>99.12</v>
      </c>
      <c r="H180" s="38">
        <f t="shared" si="93"/>
        <v>126.80421600000001</v>
      </c>
      <c r="I180" s="83">
        <f t="shared" si="94"/>
        <v>8242.2740400000002</v>
      </c>
    </row>
    <row r="181" spans="1:10" s="3" customFormat="1" ht="22.5" x14ac:dyDescent="0.2">
      <c r="A181" s="82" t="s">
        <v>436</v>
      </c>
      <c r="B181" s="29">
        <v>1679</v>
      </c>
      <c r="C181" s="29" t="s">
        <v>23</v>
      </c>
      <c r="D181" s="44" t="s">
        <v>307</v>
      </c>
      <c r="E181" s="22" t="s">
        <v>246</v>
      </c>
      <c r="F181" s="23">
        <f>'Memória de Cálculo '!F224</f>
        <v>24</v>
      </c>
      <c r="G181" s="37">
        <v>48.4</v>
      </c>
      <c r="H181" s="38">
        <f t="shared" si="93"/>
        <v>61.918120000000002</v>
      </c>
      <c r="I181" s="83">
        <f t="shared" si="94"/>
        <v>1486.0348800000002</v>
      </c>
    </row>
    <row r="182" spans="1:10" s="3" customFormat="1" ht="22.5" x14ac:dyDescent="0.2">
      <c r="A182" s="82" t="s">
        <v>437</v>
      </c>
      <c r="B182" s="29">
        <v>1678</v>
      </c>
      <c r="C182" s="29" t="s">
        <v>23</v>
      </c>
      <c r="D182" s="44" t="s">
        <v>308</v>
      </c>
      <c r="E182" s="22" t="s">
        <v>246</v>
      </c>
      <c r="F182" s="23">
        <f>'Memória de Cálculo '!F225</f>
        <v>10</v>
      </c>
      <c r="G182" s="37">
        <v>65.319999999999993</v>
      </c>
      <c r="H182" s="38">
        <f t="shared" si="93"/>
        <v>83.563875999999993</v>
      </c>
      <c r="I182" s="83">
        <f t="shared" ref="I182" si="107">F182*H182</f>
        <v>835.63875999999993</v>
      </c>
    </row>
    <row r="183" spans="1:10" s="3" customFormat="1" ht="11.25" x14ac:dyDescent="0.2">
      <c r="A183" s="82" t="s">
        <v>438</v>
      </c>
      <c r="B183" s="29">
        <v>1683</v>
      </c>
      <c r="C183" s="29" t="s">
        <v>23</v>
      </c>
      <c r="D183" s="44" t="s">
        <v>309</v>
      </c>
      <c r="E183" s="22" t="s">
        <v>246</v>
      </c>
      <c r="F183" s="23">
        <f>'Memória de Cálculo '!F226</f>
        <v>22</v>
      </c>
      <c r="G183" s="37">
        <v>67.260000000000005</v>
      </c>
      <c r="H183" s="38">
        <f t="shared" si="93"/>
        <v>86.045718000000008</v>
      </c>
      <c r="I183" s="83">
        <f t="shared" ref="I183" si="108">F183*H183</f>
        <v>1893.0057960000001</v>
      </c>
    </row>
    <row r="184" spans="1:10" s="3" customFormat="1" ht="11.25" x14ac:dyDescent="0.2">
      <c r="A184" s="82" t="s">
        <v>439</v>
      </c>
      <c r="B184" s="29">
        <v>7594</v>
      </c>
      <c r="C184" s="29" t="s">
        <v>23</v>
      </c>
      <c r="D184" s="44" t="s">
        <v>310</v>
      </c>
      <c r="E184" s="22" t="s">
        <v>246</v>
      </c>
      <c r="F184" s="23">
        <f>'Memória de Cálculo '!F227</f>
        <v>12</v>
      </c>
      <c r="G184" s="37">
        <v>6</v>
      </c>
      <c r="H184" s="38">
        <f t="shared" ref="H184" si="109">G184*($F$2+1)</f>
        <v>7.6758000000000006</v>
      </c>
      <c r="I184" s="83">
        <f t="shared" ref="I184" si="110">F184*H184</f>
        <v>92.1096</v>
      </c>
      <c r="J184" s="14"/>
    </row>
    <row r="185" spans="1:10" s="3" customFormat="1" ht="15" customHeight="1" x14ac:dyDescent="0.2">
      <c r="A185" s="80" t="s">
        <v>412</v>
      </c>
      <c r="B185" s="39"/>
      <c r="C185" s="39"/>
      <c r="D185" s="36" t="s">
        <v>269</v>
      </c>
      <c r="E185" s="56"/>
      <c r="F185" s="56"/>
      <c r="G185" s="41"/>
      <c r="H185" s="42"/>
      <c r="I185" s="85">
        <f>SUM(I186:I191)</f>
        <v>25806.583430430001</v>
      </c>
      <c r="J185" s="14"/>
    </row>
    <row r="186" spans="1:10" s="3" customFormat="1" ht="45" x14ac:dyDescent="0.2">
      <c r="A186" s="82" t="s">
        <v>429</v>
      </c>
      <c r="B186" s="29">
        <v>91785</v>
      </c>
      <c r="C186" s="29" t="s">
        <v>12</v>
      </c>
      <c r="D186" s="44" t="s">
        <v>314</v>
      </c>
      <c r="E186" s="22" t="s">
        <v>2</v>
      </c>
      <c r="F186" s="23">
        <f>'Memória de Cálculo '!F229</f>
        <v>131.80000000000001</v>
      </c>
      <c r="G186" s="37">
        <v>29.86</v>
      </c>
      <c r="H186" s="38">
        <f t="shared" si="93"/>
        <v>38.199898000000005</v>
      </c>
      <c r="I186" s="83">
        <f t="shared" si="94"/>
        <v>5034.7465564000013</v>
      </c>
      <c r="J186" s="14"/>
    </row>
    <row r="187" spans="1:10" s="3" customFormat="1" ht="45" x14ac:dyDescent="0.2">
      <c r="A187" s="82" t="s">
        <v>430</v>
      </c>
      <c r="B187" s="29">
        <v>91786</v>
      </c>
      <c r="C187" s="29" t="s">
        <v>12</v>
      </c>
      <c r="D187" s="44" t="s">
        <v>315</v>
      </c>
      <c r="E187" s="22" t="s">
        <v>2</v>
      </c>
      <c r="F187" s="23">
        <f>'Memória de Cálculo '!F230</f>
        <v>102.91</v>
      </c>
      <c r="G187" s="37">
        <v>18.47</v>
      </c>
      <c r="H187" s="38">
        <f t="shared" ref="H187:H196" si="111">G187*($F$2+1)</f>
        <v>23.628671000000001</v>
      </c>
      <c r="I187" s="83">
        <f t="shared" si="94"/>
        <v>2431.6265326100001</v>
      </c>
    </row>
    <row r="188" spans="1:10" s="3" customFormat="1" ht="33.75" x14ac:dyDescent="0.2">
      <c r="A188" s="82" t="s">
        <v>431</v>
      </c>
      <c r="B188" s="29">
        <v>91787</v>
      </c>
      <c r="C188" s="29" t="s">
        <v>12</v>
      </c>
      <c r="D188" s="44" t="s">
        <v>316</v>
      </c>
      <c r="E188" s="22" t="s">
        <v>2</v>
      </c>
      <c r="F188" s="23">
        <f>'Memória de Cálculo '!F231</f>
        <v>16.62</v>
      </c>
      <c r="G188" s="37">
        <v>19.32</v>
      </c>
      <c r="H188" s="38">
        <f t="shared" si="111"/>
        <v>24.716076000000001</v>
      </c>
      <c r="I188" s="83">
        <f t="shared" ref="I188" si="112">F188*H188</f>
        <v>410.78118312000004</v>
      </c>
    </row>
    <row r="189" spans="1:10" s="3" customFormat="1" ht="45" x14ac:dyDescent="0.2">
      <c r="A189" s="82" t="s">
        <v>432</v>
      </c>
      <c r="B189" s="29">
        <v>91792</v>
      </c>
      <c r="C189" s="29" t="s">
        <v>12</v>
      </c>
      <c r="D189" s="44" t="s">
        <v>317</v>
      </c>
      <c r="E189" s="22" t="s">
        <v>2</v>
      </c>
      <c r="F189" s="23">
        <f>'Memória de Cálculo '!F232</f>
        <v>31.439999999999998</v>
      </c>
      <c r="G189" s="37">
        <v>39.74</v>
      </c>
      <c r="H189" s="38">
        <f t="shared" ref="H189:H191" si="113">G189*($F$2+1)</f>
        <v>50.839382000000008</v>
      </c>
      <c r="I189" s="83">
        <f t="shared" ref="I189:I191" si="114">F189*H189</f>
        <v>1598.3901700800002</v>
      </c>
    </row>
    <row r="190" spans="1:10" s="3" customFormat="1" ht="45" x14ac:dyDescent="0.2">
      <c r="A190" s="82" t="s">
        <v>433</v>
      </c>
      <c r="B190" s="29">
        <v>91793</v>
      </c>
      <c r="C190" s="29" t="s">
        <v>12</v>
      </c>
      <c r="D190" s="44" t="s">
        <v>318</v>
      </c>
      <c r="E190" s="22" t="s">
        <v>2</v>
      </c>
      <c r="F190" s="23">
        <f>'Memória de Cálculo '!F233</f>
        <v>69.38</v>
      </c>
      <c r="G190" s="37">
        <v>57.93</v>
      </c>
      <c r="H190" s="38">
        <f t="shared" si="113"/>
        <v>74.109849000000011</v>
      </c>
      <c r="I190" s="83">
        <f t="shared" si="114"/>
        <v>5141.74132362</v>
      </c>
    </row>
    <row r="191" spans="1:10" s="3" customFormat="1" ht="45" x14ac:dyDescent="0.2">
      <c r="A191" s="82" t="s">
        <v>434</v>
      </c>
      <c r="B191" s="29">
        <v>91795</v>
      </c>
      <c r="C191" s="29" t="s">
        <v>12</v>
      </c>
      <c r="D191" s="44" t="s">
        <v>319</v>
      </c>
      <c r="E191" s="22" t="s">
        <v>2</v>
      </c>
      <c r="F191" s="23">
        <f>'Memória de Cálculo '!F234</f>
        <v>199.69</v>
      </c>
      <c r="G191" s="37">
        <v>43.8</v>
      </c>
      <c r="H191" s="38">
        <f t="shared" si="113"/>
        <v>56.033340000000003</v>
      </c>
      <c r="I191" s="83">
        <f t="shared" si="114"/>
        <v>11189.297664600001</v>
      </c>
    </row>
    <row r="192" spans="1:10" s="3" customFormat="1" ht="15" customHeight="1" x14ac:dyDescent="0.2">
      <c r="A192" s="80" t="s">
        <v>411</v>
      </c>
      <c r="B192" s="39"/>
      <c r="C192" s="39"/>
      <c r="D192" s="36" t="s">
        <v>270</v>
      </c>
      <c r="E192" s="56"/>
      <c r="F192" s="56"/>
      <c r="G192" s="41"/>
      <c r="H192" s="42"/>
      <c r="I192" s="85">
        <f>SUM(I193:I196)</f>
        <v>1829.2198980000003</v>
      </c>
    </row>
    <row r="193" spans="1:10" s="3" customFormat="1" ht="22.5" x14ac:dyDescent="0.2">
      <c r="A193" s="82" t="s">
        <v>425</v>
      </c>
      <c r="B193" s="29">
        <v>89353</v>
      </c>
      <c r="C193" s="29" t="s">
        <v>12</v>
      </c>
      <c r="D193" s="44" t="s">
        <v>311</v>
      </c>
      <c r="E193" s="22" t="s">
        <v>246</v>
      </c>
      <c r="F193" s="23">
        <f>'Memória de Cálculo '!F236</f>
        <v>32</v>
      </c>
      <c r="G193" s="37">
        <v>33.17</v>
      </c>
      <c r="H193" s="38">
        <f t="shared" si="111"/>
        <v>42.434381000000009</v>
      </c>
      <c r="I193" s="83">
        <f t="shared" ref="I193:I196" si="115">F193*H193</f>
        <v>1357.9001920000003</v>
      </c>
    </row>
    <row r="194" spans="1:10" s="3" customFormat="1" ht="33.75" x14ac:dyDescent="0.2">
      <c r="A194" s="82" t="s">
        <v>426</v>
      </c>
      <c r="B194" s="29">
        <v>94491</v>
      </c>
      <c r="C194" s="29" t="s">
        <v>12</v>
      </c>
      <c r="D194" s="44" t="s">
        <v>320</v>
      </c>
      <c r="E194" s="22" t="s">
        <v>246</v>
      </c>
      <c r="F194" s="23">
        <f>'Memória de Cálculo '!F237</f>
        <v>5</v>
      </c>
      <c r="G194" s="37">
        <v>31.68</v>
      </c>
      <c r="H194" s="38">
        <f t="shared" si="111"/>
        <v>40.528224000000002</v>
      </c>
      <c r="I194" s="83">
        <f t="shared" si="115"/>
        <v>202.64112</v>
      </c>
    </row>
    <row r="195" spans="1:10" s="3" customFormat="1" ht="33.75" x14ac:dyDescent="0.2">
      <c r="A195" s="82" t="s">
        <v>427</v>
      </c>
      <c r="B195" s="29">
        <v>94492</v>
      </c>
      <c r="C195" s="29" t="s">
        <v>12</v>
      </c>
      <c r="D195" s="44" t="s">
        <v>321</v>
      </c>
      <c r="E195" s="22" t="s">
        <v>246</v>
      </c>
      <c r="F195" s="23">
        <f>'Memória de Cálculo '!F238</f>
        <v>2</v>
      </c>
      <c r="G195" s="37">
        <v>32.4</v>
      </c>
      <c r="H195" s="38">
        <f t="shared" si="111"/>
        <v>41.44932</v>
      </c>
      <c r="I195" s="83">
        <f t="shared" si="115"/>
        <v>82.89864</v>
      </c>
    </row>
    <row r="196" spans="1:10" s="3" customFormat="1" ht="11.25" x14ac:dyDescent="0.2">
      <c r="A196" s="82" t="s">
        <v>428</v>
      </c>
      <c r="B196" s="29">
        <v>8614</v>
      </c>
      <c r="C196" s="29" t="s">
        <v>23</v>
      </c>
      <c r="D196" s="44" t="s">
        <v>273</v>
      </c>
      <c r="E196" s="22" t="s">
        <v>246</v>
      </c>
      <c r="F196" s="23">
        <f>'Memória de Cálculo '!F239</f>
        <v>2</v>
      </c>
      <c r="G196" s="37">
        <v>72.61</v>
      </c>
      <c r="H196" s="38">
        <f t="shared" si="111"/>
        <v>92.889973000000012</v>
      </c>
      <c r="I196" s="83">
        <f t="shared" si="115"/>
        <v>185.77994600000002</v>
      </c>
      <c r="J196" s="14"/>
    </row>
    <row r="197" spans="1:10" s="3" customFormat="1" ht="15" customHeight="1" x14ac:dyDescent="0.2">
      <c r="A197" s="80" t="s">
        <v>413</v>
      </c>
      <c r="B197" s="39"/>
      <c r="C197" s="39"/>
      <c r="D197" s="36" t="s">
        <v>271</v>
      </c>
      <c r="E197" s="56"/>
      <c r="F197" s="56"/>
      <c r="G197" s="41"/>
      <c r="H197" s="42"/>
      <c r="I197" s="85">
        <f>SUM(I198:I199)</f>
        <v>3630.205645</v>
      </c>
    </row>
    <row r="198" spans="1:10" s="3" customFormat="1" ht="11.25" x14ac:dyDescent="0.2">
      <c r="A198" s="82" t="s">
        <v>422</v>
      </c>
      <c r="B198" s="29">
        <v>9</v>
      </c>
      <c r="C198" s="29" t="s">
        <v>76</v>
      </c>
      <c r="D198" s="44" t="str">
        <f>Composições!D49</f>
        <v>EXECUÇÃO DE RESERVATÓRIO ELEVADO DE ÁGUA (2000 LITROS). AF_02/2016</v>
      </c>
      <c r="E198" s="22" t="s">
        <v>246</v>
      </c>
      <c r="F198" s="23">
        <f>'Memória de Cálculo '!F241</f>
        <v>3</v>
      </c>
      <c r="G198" s="37">
        <f>Composições!H49</f>
        <v>908.55</v>
      </c>
      <c r="H198" s="38">
        <f t="shared" ref="H198:H199" si="116">G198*($F$2+1)</f>
        <v>1162.3080150000001</v>
      </c>
      <c r="I198" s="83">
        <f t="shared" ref="I198:I199" si="117">F198*H198</f>
        <v>3486.9240450000002</v>
      </c>
    </row>
    <row r="199" spans="1:10" s="3" customFormat="1" ht="23.25" customHeight="1" x14ac:dyDescent="0.2">
      <c r="A199" s="82" t="s">
        <v>423</v>
      </c>
      <c r="B199" s="29">
        <v>97741</v>
      </c>
      <c r="C199" s="29" t="s">
        <v>12</v>
      </c>
      <c r="D199" s="44" t="s">
        <v>312</v>
      </c>
      <c r="E199" s="22" t="s">
        <v>246</v>
      </c>
      <c r="F199" s="23">
        <f>'Memória de Cálculo '!F242</f>
        <v>1</v>
      </c>
      <c r="G199" s="37">
        <v>112</v>
      </c>
      <c r="H199" s="38">
        <f t="shared" si="116"/>
        <v>143.28160000000003</v>
      </c>
      <c r="I199" s="83">
        <f t="shared" si="117"/>
        <v>143.28160000000003</v>
      </c>
    </row>
    <row r="200" spans="1:10" s="3" customFormat="1" ht="15" customHeight="1" x14ac:dyDescent="0.2">
      <c r="A200" s="80" t="s">
        <v>414</v>
      </c>
      <c r="B200" s="39"/>
      <c r="C200" s="39"/>
      <c r="D200" s="36" t="s">
        <v>272</v>
      </c>
      <c r="E200" s="56"/>
      <c r="F200" s="56"/>
      <c r="G200" s="41"/>
      <c r="H200" s="42"/>
      <c r="I200" s="85">
        <f>SUM(I201:I202)</f>
        <v>11214.100732999999</v>
      </c>
      <c r="J200" s="14"/>
    </row>
    <row r="201" spans="1:10" s="3" customFormat="1" ht="11.25" x14ac:dyDescent="0.2">
      <c r="A201" s="82" t="s">
        <v>421</v>
      </c>
      <c r="B201" s="29">
        <v>4883</v>
      </c>
      <c r="C201" s="29" t="s">
        <v>23</v>
      </c>
      <c r="D201" s="44" t="s">
        <v>329</v>
      </c>
      <c r="E201" s="22" t="s">
        <v>246</v>
      </c>
      <c r="F201" s="23">
        <f>'Memória de Cálculo '!F244</f>
        <v>19</v>
      </c>
      <c r="G201" s="37">
        <v>445.93</v>
      </c>
      <c r="H201" s="38">
        <f t="shared" ref="H201:H202" si="118">G201*($F$2+1)</f>
        <v>570.47824900000001</v>
      </c>
      <c r="I201" s="83">
        <f t="shared" ref="I201:I202" si="119">F201*H201</f>
        <v>10839.086730999999</v>
      </c>
      <c r="J201" s="14"/>
    </row>
    <row r="202" spans="1:10" s="3" customFormat="1" ht="11.25" x14ac:dyDescent="0.2">
      <c r="A202" s="82" t="s">
        <v>424</v>
      </c>
      <c r="B202" s="29">
        <v>1691</v>
      </c>
      <c r="C202" s="29" t="s">
        <v>23</v>
      </c>
      <c r="D202" s="44" t="s">
        <v>328</v>
      </c>
      <c r="E202" s="22" t="s">
        <v>246</v>
      </c>
      <c r="F202" s="23">
        <f>'Memória de Cálculo '!F245</f>
        <v>1</v>
      </c>
      <c r="G202" s="37">
        <v>293.14</v>
      </c>
      <c r="H202" s="38">
        <f t="shared" si="118"/>
        <v>375.014002</v>
      </c>
      <c r="I202" s="83">
        <f t="shared" si="119"/>
        <v>375.014002</v>
      </c>
      <c r="J202" s="14"/>
    </row>
    <row r="203" spans="1:10" s="3" customFormat="1" ht="15" customHeight="1" x14ac:dyDescent="0.2">
      <c r="A203" s="80" t="s">
        <v>415</v>
      </c>
      <c r="B203" s="39"/>
      <c r="C203" s="39"/>
      <c r="D203" s="36" t="s">
        <v>369</v>
      </c>
      <c r="E203" s="56"/>
      <c r="F203" s="56"/>
      <c r="G203" s="41"/>
      <c r="H203" s="42"/>
      <c r="I203" s="85">
        <f>SUM(I204:I208)</f>
        <v>6017.3849459900002</v>
      </c>
      <c r="J203" s="14"/>
    </row>
    <row r="204" spans="1:10" s="3" customFormat="1" ht="22.5" x14ac:dyDescent="0.2">
      <c r="A204" s="82" t="s">
        <v>416</v>
      </c>
      <c r="B204" s="29">
        <v>94227</v>
      </c>
      <c r="C204" s="29" t="s">
        <v>12</v>
      </c>
      <c r="D204" s="44" t="s">
        <v>370</v>
      </c>
      <c r="E204" s="22" t="s">
        <v>122</v>
      </c>
      <c r="F204" s="23">
        <f>'Memória de Cálculo '!F247</f>
        <v>67.92</v>
      </c>
      <c r="G204" s="37">
        <v>37.619999999999997</v>
      </c>
      <c r="H204" s="38">
        <f t="shared" ref="H204:H205" si="120">G204*($F$2+1)</f>
        <v>48.127265999999999</v>
      </c>
      <c r="I204" s="83">
        <f t="shared" ref="I204:I205" si="121">F204*H204</f>
        <v>3268.8039067200002</v>
      </c>
      <c r="J204" s="14"/>
    </row>
    <row r="205" spans="1:10" s="3" customFormat="1" ht="11.25" x14ac:dyDescent="0.2">
      <c r="A205" s="82" t="s">
        <v>417</v>
      </c>
      <c r="B205" s="29">
        <v>4283</v>
      </c>
      <c r="C205" s="29" t="s">
        <v>23</v>
      </c>
      <c r="D205" s="44" t="s">
        <v>373</v>
      </c>
      <c r="E205" s="22" t="s">
        <v>246</v>
      </c>
      <c r="F205" s="23">
        <f>'Memória de Cálculo '!F248</f>
        <v>1</v>
      </c>
      <c r="G205" s="37">
        <v>27.3</v>
      </c>
      <c r="H205" s="38">
        <f t="shared" si="120"/>
        <v>34.924890000000005</v>
      </c>
      <c r="I205" s="83">
        <f t="shared" si="121"/>
        <v>34.924890000000005</v>
      </c>
      <c r="J205" s="14"/>
    </row>
    <row r="206" spans="1:10" s="3" customFormat="1" ht="11.25" x14ac:dyDescent="0.2">
      <c r="A206" s="82" t="s">
        <v>418</v>
      </c>
      <c r="B206" s="29">
        <v>7752</v>
      </c>
      <c r="C206" s="29" t="s">
        <v>23</v>
      </c>
      <c r="D206" s="44" t="s">
        <v>374</v>
      </c>
      <c r="E206" s="22" t="s">
        <v>246</v>
      </c>
      <c r="F206" s="23">
        <f>'Memória de Cálculo '!F249</f>
        <v>1</v>
      </c>
      <c r="G206" s="37">
        <v>43.98</v>
      </c>
      <c r="H206" s="38">
        <f t="shared" ref="H206" si="122">G206*($F$2+1)</f>
        <v>56.263614000000004</v>
      </c>
      <c r="I206" s="83">
        <f t="shared" ref="I206" si="123">F206*H206</f>
        <v>56.263614000000004</v>
      </c>
      <c r="J206" s="14"/>
    </row>
    <row r="207" spans="1:10" s="3" customFormat="1" ht="45" x14ac:dyDescent="0.2">
      <c r="A207" s="82" t="s">
        <v>419</v>
      </c>
      <c r="B207" s="29">
        <v>91790</v>
      </c>
      <c r="C207" s="29" t="s">
        <v>12</v>
      </c>
      <c r="D207" s="44" t="s">
        <v>371</v>
      </c>
      <c r="E207" s="22" t="s">
        <v>122</v>
      </c>
      <c r="F207" s="23">
        <f>'Memória de Cálculo '!F250</f>
        <v>34.729999999999997</v>
      </c>
      <c r="G207" s="37">
        <v>41.86</v>
      </c>
      <c r="H207" s="38">
        <f t="shared" ref="H207:H208" si="124">G207*($F$2+1)</f>
        <v>53.551498000000002</v>
      </c>
      <c r="I207" s="83">
        <f t="shared" ref="I207:I208" si="125">F207*H207</f>
        <v>1859.84352554</v>
      </c>
      <c r="J207" s="14"/>
    </row>
    <row r="208" spans="1:10" s="3" customFormat="1" ht="33.75" x14ac:dyDescent="0.2">
      <c r="A208" s="82" t="s">
        <v>420</v>
      </c>
      <c r="B208" s="29">
        <v>91791</v>
      </c>
      <c r="C208" s="29" t="s">
        <v>12</v>
      </c>
      <c r="D208" s="44" t="s">
        <v>372</v>
      </c>
      <c r="E208" s="22" t="s">
        <v>122</v>
      </c>
      <c r="F208" s="23">
        <f>'Memória de Cálculo '!F251</f>
        <v>11.59</v>
      </c>
      <c r="G208" s="37">
        <v>53.79</v>
      </c>
      <c r="H208" s="38">
        <f t="shared" si="124"/>
        <v>68.813547</v>
      </c>
      <c r="I208" s="83">
        <f t="shared" si="125"/>
        <v>797.54900972999997</v>
      </c>
      <c r="J208" s="14"/>
    </row>
    <row r="209" spans="1:11" s="125" customFormat="1" ht="24" x14ac:dyDescent="0.2">
      <c r="A209" s="121">
        <v>7</v>
      </c>
      <c r="B209" s="122"/>
      <c r="C209" s="122"/>
      <c r="D209" s="121" t="s">
        <v>691</v>
      </c>
      <c r="E209" s="123"/>
      <c r="F209" s="124"/>
      <c r="G209" s="124"/>
      <c r="H209" s="124"/>
      <c r="I209" s="214">
        <f>I210+I213+I215+I221+I223+I232+I249+I255+I277+I280+I288</f>
        <v>164128.29172600002</v>
      </c>
      <c r="J209" s="336"/>
    </row>
    <row r="210" spans="1:11" s="3" customFormat="1" ht="15" customHeight="1" x14ac:dyDescent="0.2">
      <c r="A210" s="86" t="s">
        <v>547</v>
      </c>
      <c r="B210" s="39"/>
      <c r="C210" s="39"/>
      <c r="D210" s="36" t="s">
        <v>115</v>
      </c>
      <c r="E210" s="56"/>
      <c r="F210" s="56"/>
      <c r="G210" s="41"/>
      <c r="H210" s="42"/>
      <c r="I210" s="85">
        <f>SUM(I211:I212)</f>
        <v>3245.4406560000002</v>
      </c>
      <c r="J210" s="14"/>
    </row>
    <row r="211" spans="1:11" s="339" customFormat="1" ht="33.75" x14ac:dyDescent="0.25">
      <c r="A211" s="82" t="s">
        <v>607</v>
      </c>
      <c r="B211" s="29">
        <v>87504</v>
      </c>
      <c r="C211" s="29" t="s">
        <v>12</v>
      </c>
      <c r="D211" s="44" t="s">
        <v>510</v>
      </c>
      <c r="E211" s="22" t="s">
        <v>6</v>
      </c>
      <c r="F211" s="23">
        <f>0.2*331</f>
        <v>66.2</v>
      </c>
      <c r="G211" s="37">
        <v>46.38</v>
      </c>
      <c r="H211" s="38">
        <f>G211*(1+$I$5)</f>
        <v>46.38</v>
      </c>
      <c r="I211" s="83">
        <f>G211*F211*(1+$I$5)</f>
        <v>3070.3560000000002</v>
      </c>
      <c r="K211" s="340"/>
    </row>
    <row r="212" spans="1:11" s="339" customFormat="1" ht="22.5" x14ac:dyDescent="0.25">
      <c r="A212" s="82" t="s">
        <v>609</v>
      </c>
      <c r="B212" s="29">
        <f>Composições!B61</f>
        <v>11</v>
      </c>
      <c r="C212" s="29" t="str">
        <f>Composições!C61</f>
        <v>COMP</v>
      </c>
      <c r="D212" s="44" t="str">
        <f>Composições!D61</f>
        <v>COBOGO DE CONCRETO (ELEMENTO VAZADO), 7X40X40CM, ASSENTADO COM ARGAMASSA TRACO 1:3 (CIMENTO E AREIA)</v>
      </c>
      <c r="E212" s="22" t="s">
        <v>6</v>
      </c>
      <c r="F212" s="23">
        <f>6/2</f>
        <v>3</v>
      </c>
      <c r="G212" s="37">
        <f>Composições!H61</f>
        <v>58.361552000000003</v>
      </c>
      <c r="H212" s="38">
        <f>G212*(1+$I$5)</f>
        <v>58.361552000000003</v>
      </c>
      <c r="I212" s="83">
        <f>G212*F212*(1+$I$5)</f>
        <v>175.084656</v>
      </c>
      <c r="K212" s="340"/>
    </row>
    <row r="213" spans="1:11" s="339" customFormat="1" x14ac:dyDescent="0.25">
      <c r="A213" s="86" t="s">
        <v>548</v>
      </c>
      <c r="B213" s="39"/>
      <c r="C213" s="39"/>
      <c r="D213" s="36" t="s">
        <v>495</v>
      </c>
      <c r="E213" s="56"/>
      <c r="F213" s="56"/>
      <c r="G213" s="41"/>
      <c r="H213" s="42"/>
      <c r="I213" s="85">
        <f>SUM(I214:I214)</f>
        <v>5194.5820000000003</v>
      </c>
    </row>
    <row r="214" spans="1:11" s="339" customFormat="1" ht="22.5" x14ac:dyDescent="0.25">
      <c r="A214" s="82" t="s">
        <v>608</v>
      </c>
      <c r="B214" s="29">
        <v>9961</v>
      </c>
      <c r="C214" s="29" t="s">
        <v>23</v>
      </c>
      <c r="D214" s="44" t="s">
        <v>511</v>
      </c>
      <c r="E214" s="22" t="s">
        <v>6</v>
      </c>
      <c r="F214" s="23">
        <f>0.1*1114</f>
        <v>111.4</v>
      </c>
      <c r="G214" s="37">
        <v>46.63</v>
      </c>
      <c r="H214" s="38">
        <f>G214*(1+$I$5)</f>
        <v>46.63</v>
      </c>
      <c r="I214" s="83">
        <f>G214*F214*(1+$I$5)</f>
        <v>5194.5820000000003</v>
      </c>
      <c r="K214" s="340"/>
    </row>
    <row r="215" spans="1:11" s="339" customFormat="1" x14ac:dyDescent="0.25">
      <c r="A215" s="86" t="s">
        <v>550</v>
      </c>
      <c r="B215" s="39"/>
      <c r="C215" s="39"/>
      <c r="D215" s="36" t="s">
        <v>81</v>
      </c>
      <c r="E215" s="56"/>
      <c r="F215" s="56"/>
      <c r="G215" s="41"/>
      <c r="H215" s="42"/>
      <c r="I215" s="85">
        <f>SUM(I216:I220)</f>
        <v>5277.4500000000007</v>
      </c>
    </row>
    <row r="216" spans="1:11" s="339" customFormat="1" ht="22.5" x14ac:dyDescent="0.25">
      <c r="A216" s="82" t="s">
        <v>610</v>
      </c>
      <c r="B216" s="29">
        <v>3629</v>
      </c>
      <c r="C216" s="29" t="s">
        <v>23</v>
      </c>
      <c r="D216" s="44" t="s">
        <v>512</v>
      </c>
      <c r="E216" s="22" t="s">
        <v>513</v>
      </c>
      <c r="F216" s="23">
        <v>2</v>
      </c>
      <c r="G216" s="37">
        <v>506.45</v>
      </c>
      <c r="H216" s="38">
        <f>G216*(1+$I$5)</f>
        <v>506.45</v>
      </c>
      <c r="I216" s="83">
        <f>G216*F216*(1+$I$5)</f>
        <v>1012.9</v>
      </c>
      <c r="K216" s="340"/>
    </row>
    <row r="217" spans="1:11" s="339" customFormat="1" ht="45" x14ac:dyDescent="0.25">
      <c r="A217" s="82" t="s">
        <v>611</v>
      </c>
      <c r="B217" s="29">
        <v>90844</v>
      </c>
      <c r="C217" s="29" t="s">
        <v>12</v>
      </c>
      <c r="D217" s="44" t="s">
        <v>514</v>
      </c>
      <c r="E217" s="22" t="s">
        <v>513</v>
      </c>
      <c r="F217" s="23">
        <v>1</v>
      </c>
      <c r="G217" s="37">
        <v>704.15</v>
      </c>
      <c r="H217" s="38">
        <f>G217*(1+$I$5)</f>
        <v>704.15</v>
      </c>
      <c r="I217" s="83">
        <f>G217*F217*(1+$I$5)</f>
        <v>704.15</v>
      </c>
      <c r="K217" s="340"/>
    </row>
    <row r="218" spans="1:11" s="339" customFormat="1" ht="45" x14ac:dyDescent="0.25">
      <c r="A218" s="82" t="s">
        <v>612</v>
      </c>
      <c r="B218" s="29">
        <v>90847</v>
      </c>
      <c r="C218" s="29" t="s">
        <v>12</v>
      </c>
      <c r="D218" s="44" t="s">
        <v>515</v>
      </c>
      <c r="E218" s="22" t="s">
        <v>513</v>
      </c>
      <c r="F218" s="23">
        <v>4</v>
      </c>
      <c r="G218" s="37">
        <v>544.49</v>
      </c>
      <c r="H218" s="38">
        <f>G218*(1+$I$5)</f>
        <v>544.49</v>
      </c>
      <c r="I218" s="83">
        <f>G218*F218*(1+$I$5)</f>
        <v>2177.96</v>
      </c>
      <c r="K218" s="340"/>
    </row>
    <row r="219" spans="1:11" s="339" customFormat="1" ht="45" x14ac:dyDescent="0.25">
      <c r="A219" s="82" t="s">
        <v>613</v>
      </c>
      <c r="B219" s="29">
        <v>90849</v>
      </c>
      <c r="C219" s="29" t="s">
        <v>12</v>
      </c>
      <c r="D219" s="44" t="s">
        <v>516</v>
      </c>
      <c r="E219" s="22" t="s">
        <v>513</v>
      </c>
      <c r="F219" s="23">
        <v>2</v>
      </c>
      <c r="G219" s="37">
        <v>589.76</v>
      </c>
      <c r="H219" s="38">
        <f>G219*(1+$I$5)</f>
        <v>589.76</v>
      </c>
      <c r="I219" s="83">
        <f>G219*F219*(1+$I$5)</f>
        <v>1179.52</v>
      </c>
      <c r="K219" s="340"/>
    </row>
    <row r="220" spans="1:11" s="339" customFormat="1" x14ac:dyDescent="0.25">
      <c r="A220" s="82" t="s">
        <v>614</v>
      </c>
      <c r="B220" s="29">
        <v>1865</v>
      </c>
      <c r="C220" s="29" t="s">
        <v>23</v>
      </c>
      <c r="D220" s="44" t="s">
        <v>517</v>
      </c>
      <c r="E220" s="22" t="s">
        <v>513</v>
      </c>
      <c r="F220" s="23">
        <f>F219+F218</f>
        <v>6</v>
      </c>
      <c r="G220" s="37">
        <v>33.82</v>
      </c>
      <c r="H220" s="38">
        <f>G220*(1+$I$5)</f>
        <v>33.82</v>
      </c>
      <c r="I220" s="83">
        <f>G220*F220*(1+$I$5)</f>
        <v>202.92000000000002</v>
      </c>
      <c r="K220" s="340"/>
    </row>
    <row r="221" spans="1:11" s="339" customFormat="1" x14ac:dyDescent="0.25">
      <c r="A221" s="86" t="s">
        <v>551</v>
      </c>
      <c r="B221" s="39"/>
      <c r="C221" s="39"/>
      <c r="D221" s="36" t="s">
        <v>112</v>
      </c>
      <c r="E221" s="56"/>
      <c r="F221" s="56"/>
      <c r="G221" s="41"/>
      <c r="H221" s="42"/>
      <c r="I221" s="85">
        <f>SUM(I222:I222)</f>
        <v>505.01</v>
      </c>
    </row>
    <row r="222" spans="1:11" s="339" customFormat="1" ht="33.75" x14ac:dyDescent="0.25">
      <c r="A222" s="82" t="s">
        <v>615</v>
      </c>
      <c r="B222" s="29">
        <v>11369</v>
      </c>
      <c r="C222" s="29" t="s">
        <v>23</v>
      </c>
      <c r="D222" s="44" t="s">
        <v>509</v>
      </c>
      <c r="E222" s="22" t="s">
        <v>6</v>
      </c>
      <c r="F222" s="23">
        <v>11</v>
      </c>
      <c r="G222" s="37">
        <v>45.91</v>
      </c>
      <c r="H222" s="38">
        <f>G222*(1+$I$5)</f>
        <v>45.91</v>
      </c>
      <c r="I222" s="83">
        <f>G222*F222*(1+$I$5)</f>
        <v>505.01</v>
      </c>
      <c r="K222" s="340"/>
    </row>
    <row r="223" spans="1:11" s="339" customFormat="1" x14ac:dyDescent="0.25">
      <c r="A223" s="86" t="s">
        <v>552</v>
      </c>
      <c r="B223" s="39"/>
      <c r="C223" s="39"/>
      <c r="D223" s="36" t="s">
        <v>521</v>
      </c>
      <c r="E223" s="56"/>
      <c r="F223" s="56"/>
      <c r="G223" s="41"/>
      <c r="H223" s="42"/>
      <c r="I223" s="85">
        <f>SUM(I224:I231)</f>
        <v>71679.831999999995</v>
      </c>
    </row>
    <row r="224" spans="1:11" s="339" customFormat="1" ht="22.5" x14ac:dyDescent="0.25">
      <c r="A224" s="82" t="s">
        <v>616</v>
      </c>
      <c r="B224" s="29">
        <v>88415</v>
      </c>
      <c r="C224" s="29" t="s">
        <v>12</v>
      </c>
      <c r="D224" s="44" t="s">
        <v>522</v>
      </c>
      <c r="E224" s="22" t="s">
        <v>6</v>
      </c>
      <c r="F224" s="23">
        <v>847.2</v>
      </c>
      <c r="G224" s="37">
        <v>2.0099999999999998</v>
      </c>
      <c r="H224" s="38">
        <f>G224*(1+$I$5)</f>
        <v>2.0099999999999998</v>
      </c>
      <c r="I224" s="83">
        <f t="shared" ref="I224:I231" si="126">G224*F224*(1+$I$5)</f>
        <v>1702.8719999999998</v>
      </c>
      <c r="K224" s="340"/>
    </row>
    <row r="225" spans="1:11" s="339" customFormat="1" ht="22.5" x14ac:dyDescent="0.25">
      <c r="A225" s="82" t="s">
        <v>617</v>
      </c>
      <c r="B225" s="29">
        <v>41595</v>
      </c>
      <c r="C225" s="29" t="s">
        <v>12</v>
      </c>
      <c r="D225" s="44" t="s">
        <v>523</v>
      </c>
      <c r="E225" s="22" t="s">
        <v>122</v>
      </c>
      <c r="F225" s="23">
        <v>360</v>
      </c>
      <c r="G225" s="37">
        <v>8.6999999999999993</v>
      </c>
      <c r="H225" s="38">
        <f t="shared" ref="H225:H231" si="127">G225*(1+$I$5)</f>
        <v>8.6999999999999993</v>
      </c>
      <c r="I225" s="83">
        <f t="shared" si="126"/>
        <v>3131.9999999999995</v>
      </c>
      <c r="K225" s="340"/>
    </row>
    <row r="226" spans="1:11" s="339" customFormat="1" ht="22.5" x14ac:dyDescent="0.25">
      <c r="A226" s="82" t="s">
        <v>618</v>
      </c>
      <c r="B226" s="29">
        <v>96130</v>
      </c>
      <c r="C226" s="29" t="s">
        <v>12</v>
      </c>
      <c r="D226" s="44" t="s">
        <v>524</v>
      </c>
      <c r="E226" s="22" t="s">
        <v>6</v>
      </c>
      <c r="F226" s="23">
        <v>88.6</v>
      </c>
      <c r="G226" s="37">
        <v>12.14</v>
      </c>
      <c r="H226" s="38">
        <f t="shared" si="127"/>
        <v>12.14</v>
      </c>
      <c r="I226" s="83">
        <f t="shared" si="126"/>
        <v>1075.604</v>
      </c>
      <c r="K226" s="340"/>
    </row>
    <row r="227" spans="1:11" s="339" customFormat="1" x14ac:dyDescent="0.25">
      <c r="A227" s="82" t="s">
        <v>619</v>
      </c>
      <c r="B227" s="29" t="s">
        <v>525</v>
      </c>
      <c r="C227" s="29" t="s">
        <v>12</v>
      </c>
      <c r="D227" s="44" t="s">
        <v>526</v>
      </c>
      <c r="E227" s="22" t="s">
        <v>6</v>
      </c>
      <c r="F227" s="23">
        <v>1114</v>
      </c>
      <c r="G227" s="37">
        <v>20.81</v>
      </c>
      <c r="H227" s="38">
        <f t="shared" si="127"/>
        <v>20.81</v>
      </c>
      <c r="I227" s="83">
        <f t="shared" si="126"/>
        <v>23182.34</v>
      </c>
      <c r="K227" s="340"/>
    </row>
    <row r="228" spans="1:11" s="339" customFormat="1" ht="22.5" x14ac:dyDescent="0.25">
      <c r="A228" s="82" t="s">
        <v>620</v>
      </c>
      <c r="B228" s="29" t="s">
        <v>527</v>
      </c>
      <c r="C228" s="29" t="s">
        <v>12</v>
      </c>
      <c r="D228" s="44" t="s">
        <v>528</v>
      </c>
      <c r="E228" s="22" t="s">
        <v>6</v>
      </c>
      <c r="F228" s="23">
        <v>1114</v>
      </c>
      <c r="G228" s="37">
        <v>8.68</v>
      </c>
      <c r="H228" s="38">
        <f t="shared" si="127"/>
        <v>8.68</v>
      </c>
      <c r="I228" s="83">
        <f t="shared" si="126"/>
        <v>9669.52</v>
      </c>
      <c r="K228" s="340"/>
    </row>
    <row r="229" spans="1:11" s="339" customFormat="1" ht="22.5" x14ac:dyDescent="0.25">
      <c r="A229" s="82" t="s">
        <v>621</v>
      </c>
      <c r="B229" s="29">
        <v>88489</v>
      </c>
      <c r="C229" s="29" t="s">
        <v>12</v>
      </c>
      <c r="D229" s="44" t="s">
        <v>210</v>
      </c>
      <c r="E229" s="22" t="s">
        <v>6</v>
      </c>
      <c r="F229" s="23">
        <v>847.2</v>
      </c>
      <c r="G229" s="37">
        <v>10.23</v>
      </c>
      <c r="H229" s="38">
        <f t="shared" si="127"/>
        <v>10.23</v>
      </c>
      <c r="I229" s="83">
        <f t="shared" si="126"/>
        <v>8666.8560000000016</v>
      </c>
      <c r="K229" s="340"/>
    </row>
    <row r="230" spans="1:11" s="339" customFormat="1" x14ac:dyDescent="0.25">
      <c r="A230" s="82" t="s">
        <v>622</v>
      </c>
      <c r="B230" s="29">
        <v>72815</v>
      </c>
      <c r="C230" s="29" t="s">
        <v>12</v>
      </c>
      <c r="D230" s="44" t="s">
        <v>529</v>
      </c>
      <c r="E230" s="22" t="s">
        <v>6</v>
      </c>
      <c r="F230" s="23">
        <v>480</v>
      </c>
      <c r="G230" s="37">
        <v>42.45</v>
      </c>
      <c r="H230" s="38">
        <f t="shared" si="127"/>
        <v>42.45</v>
      </c>
      <c r="I230" s="83">
        <f t="shared" si="126"/>
        <v>20376</v>
      </c>
      <c r="K230" s="340"/>
    </row>
    <row r="231" spans="1:11" s="339" customFormat="1" ht="22.5" x14ac:dyDescent="0.25">
      <c r="A231" s="82" t="s">
        <v>623</v>
      </c>
      <c r="B231" s="29">
        <v>88487</v>
      </c>
      <c r="C231" s="29" t="s">
        <v>12</v>
      </c>
      <c r="D231" s="44" t="s">
        <v>530</v>
      </c>
      <c r="E231" s="22" t="s">
        <v>6</v>
      </c>
      <c r="F231" s="23">
        <v>476</v>
      </c>
      <c r="G231" s="37">
        <v>8.14</v>
      </c>
      <c r="H231" s="38">
        <f t="shared" si="127"/>
        <v>8.14</v>
      </c>
      <c r="I231" s="83">
        <f t="shared" si="126"/>
        <v>3874.6400000000003</v>
      </c>
      <c r="K231" s="340"/>
    </row>
    <row r="232" spans="1:11" s="339" customFormat="1" x14ac:dyDescent="0.25">
      <c r="A232" s="86" t="s">
        <v>624</v>
      </c>
      <c r="B232" s="39"/>
      <c r="C232" s="39"/>
      <c r="D232" s="36" t="s">
        <v>531</v>
      </c>
      <c r="E232" s="56"/>
      <c r="F232" s="56"/>
      <c r="G232" s="41"/>
      <c r="H232" s="42"/>
      <c r="I232" s="85">
        <f>SUM(I233:I248)</f>
        <v>7301.2300000000005</v>
      </c>
    </row>
    <row r="233" spans="1:11" s="339" customFormat="1" x14ac:dyDescent="0.25">
      <c r="A233" s="82" t="s">
        <v>625</v>
      </c>
      <c r="B233" s="29">
        <v>37104</v>
      </c>
      <c r="C233" s="29" t="s">
        <v>12</v>
      </c>
      <c r="D233" s="44" t="s">
        <v>532</v>
      </c>
      <c r="E233" s="22" t="s">
        <v>17</v>
      </c>
      <c r="F233" s="23">
        <v>1</v>
      </c>
      <c r="G233" s="37">
        <v>625.25</v>
      </c>
      <c r="H233" s="38">
        <f t="shared" ref="H233:H248" si="128">G233*(1+$I$5)</f>
        <v>625.25</v>
      </c>
      <c r="I233" s="83">
        <f t="shared" ref="I233:I248" si="129">G233*F233*(1+$I$5)</f>
        <v>625.25</v>
      </c>
      <c r="K233" s="340"/>
    </row>
    <row r="234" spans="1:11" s="339" customFormat="1" x14ac:dyDescent="0.25">
      <c r="A234" s="82" t="s">
        <v>626</v>
      </c>
      <c r="B234" s="29">
        <v>6141</v>
      </c>
      <c r="C234" s="29" t="s">
        <v>12</v>
      </c>
      <c r="D234" s="44" t="s">
        <v>533</v>
      </c>
      <c r="E234" s="22" t="s">
        <v>17</v>
      </c>
      <c r="F234" s="23">
        <v>10</v>
      </c>
      <c r="G234" s="37">
        <v>3.04</v>
      </c>
      <c r="H234" s="38">
        <f t="shared" si="128"/>
        <v>3.04</v>
      </c>
      <c r="I234" s="83">
        <f t="shared" si="129"/>
        <v>30.4</v>
      </c>
      <c r="K234" s="340"/>
    </row>
    <row r="235" spans="1:11" s="339" customFormat="1" x14ac:dyDescent="0.25">
      <c r="A235" s="82" t="s">
        <v>627</v>
      </c>
      <c r="B235" s="29">
        <v>3256</v>
      </c>
      <c r="C235" s="29" t="s">
        <v>12</v>
      </c>
      <c r="D235" s="44" t="s">
        <v>534</v>
      </c>
      <c r="E235" s="22" t="s">
        <v>17</v>
      </c>
      <c r="F235" s="23">
        <v>3</v>
      </c>
      <c r="G235" s="37">
        <v>6.25</v>
      </c>
      <c r="H235" s="38">
        <f t="shared" si="128"/>
        <v>6.25</v>
      </c>
      <c r="I235" s="83">
        <f t="shared" si="129"/>
        <v>18.75</v>
      </c>
      <c r="K235" s="340"/>
    </row>
    <row r="236" spans="1:11" s="339" customFormat="1" x14ac:dyDescent="0.25">
      <c r="A236" s="82" t="s">
        <v>628</v>
      </c>
      <c r="B236" s="29">
        <v>3260</v>
      </c>
      <c r="C236" s="29" t="s">
        <v>12</v>
      </c>
      <c r="D236" s="44" t="s">
        <v>535</v>
      </c>
      <c r="E236" s="22" t="s">
        <v>17</v>
      </c>
      <c r="F236" s="23">
        <v>2</v>
      </c>
      <c r="G236" s="37">
        <v>11.72</v>
      </c>
      <c r="H236" s="38">
        <f t="shared" si="128"/>
        <v>11.72</v>
      </c>
      <c r="I236" s="83">
        <f t="shared" si="129"/>
        <v>23.44</v>
      </c>
      <c r="K236" s="340"/>
    </row>
    <row r="237" spans="1:11" s="339" customFormat="1" x14ac:dyDescent="0.25">
      <c r="A237" s="82" t="s">
        <v>629</v>
      </c>
      <c r="B237" s="29">
        <v>6013</v>
      </c>
      <c r="C237" s="29" t="s">
        <v>12</v>
      </c>
      <c r="D237" s="44" t="s">
        <v>536</v>
      </c>
      <c r="E237" s="22" t="s">
        <v>17</v>
      </c>
      <c r="F237" s="23">
        <v>2</v>
      </c>
      <c r="G237" s="37">
        <v>78.34</v>
      </c>
      <c r="H237" s="38">
        <f t="shared" si="128"/>
        <v>78.34</v>
      </c>
      <c r="I237" s="83">
        <f t="shared" si="129"/>
        <v>156.68</v>
      </c>
      <c r="K237" s="340"/>
    </row>
    <row r="238" spans="1:11" s="339" customFormat="1" x14ac:dyDescent="0.25">
      <c r="A238" s="82" t="s">
        <v>630</v>
      </c>
      <c r="B238" s="29">
        <v>6015</v>
      </c>
      <c r="C238" s="29" t="s">
        <v>12</v>
      </c>
      <c r="D238" s="44" t="s">
        <v>537</v>
      </c>
      <c r="E238" s="22" t="s">
        <v>17</v>
      </c>
      <c r="F238" s="23">
        <v>2</v>
      </c>
      <c r="G238" s="37">
        <v>113.93</v>
      </c>
      <c r="H238" s="38">
        <f t="shared" si="128"/>
        <v>113.93</v>
      </c>
      <c r="I238" s="83">
        <f t="shared" si="129"/>
        <v>227.86</v>
      </c>
      <c r="K238" s="340"/>
    </row>
    <row r="239" spans="1:11" s="339" customFormat="1" x14ac:dyDescent="0.25">
      <c r="A239" s="82" t="s">
        <v>631</v>
      </c>
      <c r="B239" s="29">
        <v>6006</v>
      </c>
      <c r="C239" s="29" t="s">
        <v>12</v>
      </c>
      <c r="D239" s="44" t="s">
        <v>538</v>
      </c>
      <c r="E239" s="22" t="s">
        <v>17</v>
      </c>
      <c r="F239" s="23">
        <v>2</v>
      </c>
      <c r="G239" s="37">
        <v>56.73</v>
      </c>
      <c r="H239" s="38">
        <f t="shared" si="128"/>
        <v>56.73</v>
      </c>
      <c r="I239" s="83">
        <f t="shared" si="129"/>
        <v>113.46</v>
      </c>
      <c r="K239" s="340"/>
    </row>
    <row r="240" spans="1:11" s="339" customFormat="1" x14ac:dyDescent="0.25">
      <c r="A240" s="82" t="s">
        <v>632</v>
      </c>
      <c r="B240" s="29">
        <v>6005</v>
      </c>
      <c r="C240" s="29" t="s">
        <v>12</v>
      </c>
      <c r="D240" s="44" t="s">
        <v>539</v>
      </c>
      <c r="E240" s="22" t="s">
        <v>17</v>
      </c>
      <c r="F240" s="23">
        <v>2</v>
      </c>
      <c r="G240" s="37">
        <v>64</v>
      </c>
      <c r="H240" s="38">
        <f t="shared" si="128"/>
        <v>64</v>
      </c>
      <c r="I240" s="83">
        <f t="shared" si="129"/>
        <v>128</v>
      </c>
      <c r="K240" s="340"/>
    </row>
    <row r="241" spans="1:11" s="339" customFormat="1" x14ac:dyDescent="0.25">
      <c r="A241" s="82" t="s">
        <v>633</v>
      </c>
      <c r="B241" s="29">
        <v>6024</v>
      </c>
      <c r="C241" s="29" t="s">
        <v>12</v>
      </c>
      <c r="D241" s="44" t="s">
        <v>540</v>
      </c>
      <c r="E241" s="22" t="s">
        <v>17</v>
      </c>
      <c r="F241" s="23">
        <v>8</v>
      </c>
      <c r="G241" s="37">
        <v>60.36</v>
      </c>
      <c r="H241" s="38">
        <f t="shared" si="128"/>
        <v>60.36</v>
      </c>
      <c r="I241" s="83">
        <f t="shared" si="129"/>
        <v>482.88</v>
      </c>
      <c r="K241" s="340"/>
    </row>
    <row r="242" spans="1:11" s="339" customFormat="1" ht="22.5" x14ac:dyDescent="0.25">
      <c r="A242" s="82" t="s">
        <v>634</v>
      </c>
      <c r="B242" s="29">
        <v>86906</v>
      </c>
      <c r="C242" s="29" t="s">
        <v>12</v>
      </c>
      <c r="D242" s="44" t="s">
        <v>541</v>
      </c>
      <c r="E242" s="22" t="s">
        <v>17</v>
      </c>
      <c r="F242" s="23">
        <v>8</v>
      </c>
      <c r="G242" s="37">
        <v>42.38</v>
      </c>
      <c r="H242" s="38">
        <f t="shared" si="128"/>
        <v>42.38</v>
      </c>
      <c r="I242" s="83">
        <f t="shared" si="129"/>
        <v>339.04</v>
      </c>
      <c r="K242" s="340"/>
    </row>
    <row r="243" spans="1:11" s="339" customFormat="1" ht="22.5" x14ac:dyDescent="0.25">
      <c r="A243" s="82" t="s">
        <v>635</v>
      </c>
      <c r="B243" s="29">
        <v>11830</v>
      </c>
      <c r="C243" s="29" t="s">
        <v>12</v>
      </c>
      <c r="D243" s="44" t="s">
        <v>542</v>
      </c>
      <c r="E243" s="22" t="s">
        <v>17</v>
      </c>
      <c r="F243" s="23">
        <v>1</v>
      </c>
      <c r="G243" s="37">
        <v>10.31</v>
      </c>
      <c r="H243" s="38">
        <f t="shared" si="128"/>
        <v>10.31</v>
      </c>
      <c r="I243" s="83">
        <f t="shared" si="129"/>
        <v>10.31</v>
      </c>
      <c r="K243" s="340"/>
    </row>
    <row r="244" spans="1:11" s="339" customFormat="1" ht="33.75" x14ac:dyDescent="0.25">
      <c r="A244" s="82" t="s">
        <v>636</v>
      </c>
      <c r="B244" s="29">
        <f>Composições!B66</f>
        <v>12</v>
      </c>
      <c r="C244" s="29" t="str">
        <f>Composições!C66</f>
        <v>COMP</v>
      </c>
      <c r="D244" s="44" t="str">
        <f>Composições!D66</f>
        <v>CUBA DE EMBUTIR OVAL EM LOUÇA BRANCA, 35 X 50CM OU EQUIVALENTE, INCLUSO VÁLVULA EM METAL CROMADO E SIFÃO DO TIPO GARRAFA/COPO EM PVC - FORNECIMENTO E INSTALAÇÃO. AF_12/2013</v>
      </c>
      <c r="E244" s="22" t="s">
        <v>17</v>
      </c>
      <c r="F244" s="23">
        <v>6</v>
      </c>
      <c r="G244" s="37">
        <f>Composições!H66</f>
        <v>143.1</v>
      </c>
      <c r="H244" s="38">
        <f t="shared" si="128"/>
        <v>143.1</v>
      </c>
      <c r="I244" s="83">
        <f t="shared" si="129"/>
        <v>858.59999999999991</v>
      </c>
      <c r="K244" s="340"/>
    </row>
    <row r="245" spans="1:11" s="339" customFormat="1" x14ac:dyDescent="0.25">
      <c r="A245" s="82" t="s">
        <v>637</v>
      </c>
      <c r="B245" s="29">
        <v>7608</v>
      </c>
      <c r="C245" s="29" t="s">
        <v>12</v>
      </c>
      <c r="D245" s="44" t="s">
        <v>338</v>
      </c>
      <c r="E245" s="22" t="s">
        <v>17</v>
      </c>
      <c r="F245" s="23">
        <v>6</v>
      </c>
      <c r="G245" s="37">
        <v>4.29</v>
      </c>
      <c r="H245" s="38">
        <f t="shared" si="128"/>
        <v>4.29</v>
      </c>
      <c r="I245" s="83">
        <f t="shared" si="129"/>
        <v>25.740000000000002</v>
      </c>
      <c r="K245" s="340"/>
    </row>
    <row r="246" spans="1:11" s="339" customFormat="1" ht="33.75" x14ac:dyDescent="0.25">
      <c r="A246" s="82" t="s">
        <v>638</v>
      </c>
      <c r="B246" s="29">
        <v>86931</v>
      </c>
      <c r="C246" s="29" t="s">
        <v>12</v>
      </c>
      <c r="D246" s="44" t="s">
        <v>333</v>
      </c>
      <c r="E246" s="22" t="s">
        <v>17</v>
      </c>
      <c r="F246" s="23">
        <v>2</v>
      </c>
      <c r="G246" s="37">
        <v>355.71</v>
      </c>
      <c r="H246" s="38">
        <f t="shared" si="128"/>
        <v>355.71</v>
      </c>
      <c r="I246" s="83">
        <f t="shared" si="129"/>
        <v>711.42</v>
      </c>
      <c r="K246" s="340"/>
    </row>
    <row r="247" spans="1:11" s="339" customFormat="1" ht="22.5" x14ac:dyDescent="0.25">
      <c r="A247" s="82" t="s">
        <v>639</v>
      </c>
      <c r="B247" s="29">
        <v>13303</v>
      </c>
      <c r="C247" s="29" t="s">
        <v>23</v>
      </c>
      <c r="D247" s="44" t="s">
        <v>544</v>
      </c>
      <c r="E247" s="22" t="s">
        <v>17</v>
      </c>
      <c r="F247" s="23">
        <f>F248</f>
        <v>4</v>
      </c>
      <c r="G247" s="37">
        <v>279.89999999999998</v>
      </c>
      <c r="H247" s="38">
        <f t="shared" si="128"/>
        <v>279.89999999999998</v>
      </c>
      <c r="I247" s="83">
        <f t="shared" si="129"/>
        <v>1119.5999999999999</v>
      </c>
      <c r="K247" s="340"/>
    </row>
    <row r="248" spans="1:11" s="339" customFormat="1" ht="33.75" x14ac:dyDescent="0.25">
      <c r="A248" s="82" t="s">
        <v>640</v>
      </c>
      <c r="B248" s="29">
        <v>95472</v>
      </c>
      <c r="C248" s="29" t="s">
        <v>12</v>
      </c>
      <c r="D248" s="44" t="s">
        <v>545</v>
      </c>
      <c r="E248" s="22" t="s">
        <v>17</v>
      </c>
      <c r="F248" s="23">
        <v>4</v>
      </c>
      <c r="G248" s="37">
        <v>607.45000000000005</v>
      </c>
      <c r="H248" s="38">
        <f t="shared" si="128"/>
        <v>607.45000000000005</v>
      </c>
      <c r="I248" s="83">
        <f t="shared" si="129"/>
        <v>2429.8000000000002</v>
      </c>
      <c r="K248" s="340"/>
    </row>
    <row r="249" spans="1:11" s="339" customFormat="1" x14ac:dyDescent="0.25">
      <c r="A249" s="86" t="s">
        <v>641</v>
      </c>
      <c r="B249" s="39"/>
      <c r="C249" s="39"/>
      <c r="D249" s="36" t="s">
        <v>546</v>
      </c>
      <c r="E249" s="56"/>
      <c r="F249" s="56"/>
      <c r="G249" s="41"/>
      <c r="H249" s="42"/>
      <c r="I249" s="85">
        <f>SUM(I250:I254)</f>
        <v>18238.091199999999</v>
      </c>
    </row>
    <row r="250" spans="1:11" s="339" customFormat="1" ht="22.5" x14ac:dyDescent="0.25">
      <c r="A250" s="82" t="s">
        <v>642</v>
      </c>
      <c r="B250" s="29">
        <v>94227</v>
      </c>
      <c r="C250" s="29" t="s">
        <v>12</v>
      </c>
      <c r="D250" s="44" t="s">
        <v>370</v>
      </c>
      <c r="E250" s="22" t="s">
        <v>122</v>
      </c>
      <c r="F250" s="23">
        <v>72</v>
      </c>
      <c r="G250" s="37">
        <v>37.619999999999997</v>
      </c>
      <c r="H250" s="38">
        <f>G250*(1+$I$5)</f>
        <v>37.619999999999997</v>
      </c>
      <c r="I250" s="83">
        <f>G250*F250*(1+$I$5)</f>
        <v>2708.64</v>
      </c>
      <c r="K250" s="340"/>
    </row>
    <row r="251" spans="1:11" s="339" customFormat="1" ht="22.5" x14ac:dyDescent="0.25">
      <c r="A251" s="82" t="s">
        <v>643</v>
      </c>
      <c r="B251" s="29">
        <v>89580</v>
      </c>
      <c r="C251" s="29" t="s">
        <v>12</v>
      </c>
      <c r="D251" s="44" t="s">
        <v>549</v>
      </c>
      <c r="E251" s="22" t="s">
        <v>122</v>
      </c>
      <c r="F251" s="23">
        <v>20</v>
      </c>
      <c r="G251" s="37">
        <v>50.54</v>
      </c>
      <c r="H251" s="38">
        <f>G251*(1+$I$5)</f>
        <v>50.54</v>
      </c>
      <c r="I251" s="83">
        <f>G251*F251*(1+$I$5)</f>
        <v>1010.8</v>
      </c>
      <c r="K251" s="340"/>
    </row>
    <row r="252" spans="1:11" s="339" customFormat="1" ht="22.5" x14ac:dyDescent="0.25">
      <c r="A252" s="82" t="s">
        <v>644</v>
      </c>
      <c r="B252" s="29">
        <f>Composições!B70</f>
        <v>13</v>
      </c>
      <c r="C252" s="29" t="str">
        <f>Composições!C70</f>
        <v>COMP</v>
      </c>
      <c r="D252" s="44" t="str">
        <f>Composições!D70</f>
        <v>JOELHO 90 GRAUS, PVC, SERIE R, ÁGUA PLUVIAL, DN 150 MM, JUNTA ELÁSTICA, FORNECIDO E INSTALADO EM RAMAL DE ENCAMINHAMENTO. AF_12/2014</v>
      </c>
      <c r="E252" s="22" t="s">
        <v>122</v>
      </c>
      <c r="F252" s="23">
        <v>4</v>
      </c>
      <c r="G252" s="37">
        <f>Composições!H70</f>
        <v>70.282799999999995</v>
      </c>
      <c r="H252" s="38">
        <f>G252*(1+$I$5)</f>
        <v>70.282799999999995</v>
      </c>
      <c r="I252" s="83">
        <f>G252*F252*(1+$I$5)</f>
        <v>281.13119999999998</v>
      </c>
      <c r="K252" s="340"/>
    </row>
    <row r="253" spans="1:11" s="339" customFormat="1" x14ac:dyDescent="0.25">
      <c r="A253" s="82" t="s">
        <v>645</v>
      </c>
      <c r="B253" s="29">
        <v>7752</v>
      </c>
      <c r="C253" s="29" t="s">
        <v>23</v>
      </c>
      <c r="D253" s="44" t="s">
        <v>374</v>
      </c>
      <c r="E253" s="22" t="s">
        <v>17</v>
      </c>
      <c r="F253" s="23">
        <v>4</v>
      </c>
      <c r="G253" s="37">
        <v>43.98</v>
      </c>
      <c r="H253" s="38">
        <f>G253*(1+$I$5)</f>
        <v>43.98</v>
      </c>
      <c r="I253" s="83">
        <f>G253*F253*(1+$I$5)</f>
        <v>175.92</v>
      </c>
      <c r="K253" s="340"/>
    </row>
    <row r="254" spans="1:11" s="339" customFormat="1" x14ac:dyDescent="0.25">
      <c r="A254" s="82" t="s">
        <v>646</v>
      </c>
      <c r="B254" s="29">
        <v>4421</v>
      </c>
      <c r="C254" s="29" t="s">
        <v>23</v>
      </c>
      <c r="D254" s="44" t="s">
        <v>553</v>
      </c>
      <c r="E254" s="22" t="s">
        <v>122</v>
      </c>
      <c r="F254" s="23">
        <v>72</v>
      </c>
      <c r="G254" s="37">
        <v>195.3</v>
      </c>
      <c r="H254" s="38">
        <f>G254*(1+$I$5)</f>
        <v>195.3</v>
      </c>
      <c r="I254" s="83">
        <f>G254*F254*(1+$I$5)</f>
        <v>14061.6</v>
      </c>
      <c r="K254" s="340"/>
    </row>
    <row r="255" spans="1:11" s="339" customFormat="1" x14ac:dyDescent="0.25">
      <c r="A255" s="86" t="s">
        <v>647</v>
      </c>
      <c r="B255" s="39"/>
      <c r="C255" s="39"/>
      <c r="D255" s="36" t="s">
        <v>554</v>
      </c>
      <c r="E255" s="56"/>
      <c r="F255" s="56"/>
      <c r="G255" s="41"/>
      <c r="H255" s="42"/>
      <c r="I255" s="85">
        <f>SUM(I256:I276)</f>
        <v>14505.735000000001</v>
      </c>
    </row>
    <row r="256" spans="1:11" s="339" customFormat="1" ht="22.5" x14ac:dyDescent="0.25">
      <c r="A256" s="82" t="s">
        <v>648</v>
      </c>
      <c r="B256" s="29">
        <v>95795</v>
      </c>
      <c r="C256" s="29" t="s">
        <v>12</v>
      </c>
      <c r="D256" s="44" t="s">
        <v>555</v>
      </c>
      <c r="E256" s="22" t="s">
        <v>17</v>
      </c>
      <c r="F256" s="23">
        <v>5</v>
      </c>
      <c r="G256" s="37">
        <v>24.16</v>
      </c>
      <c r="H256" s="38">
        <f>G256*(1+$I$5)</f>
        <v>24.16</v>
      </c>
      <c r="I256" s="83">
        <f t="shared" ref="I256:I276" si="130">G256*F256*(1+$I$5)</f>
        <v>120.8</v>
      </c>
      <c r="K256" s="340"/>
    </row>
    <row r="257" spans="1:11" s="339" customFormat="1" ht="22.5" x14ac:dyDescent="0.25">
      <c r="A257" s="82" t="s">
        <v>649</v>
      </c>
      <c r="B257" s="29">
        <v>95787</v>
      </c>
      <c r="C257" s="29" t="s">
        <v>12</v>
      </c>
      <c r="D257" s="44" t="s">
        <v>556</v>
      </c>
      <c r="E257" s="22" t="s">
        <v>17</v>
      </c>
      <c r="F257" s="23">
        <v>5</v>
      </c>
      <c r="G257" s="37">
        <v>20.93</v>
      </c>
      <c r="H257" s="38">
        <f t="shared" ref="H257:H276" si="131">G257*(1+$I$5)</f>
        <v>20.93</v>
      </c>
      <c r="I257" s="83">
        <f t="shared" si="130"/>
        <v>104.65</v>
      </c>
      <c r="K257" s="340"/>
    </row>
    <row r="258" spans="1:11" s="339" customFormat="1" ht="22.5" x14ac:dyDescent="0.25">
      <c r="A258" s="82" t="s">
        <v>650</v>
      </c>
      <c r="B258" s="29">
        <v>95795</v>
      </c>
      <c r="C258" s="29" t="s">
        <v>12</v>
      </c>
      <c r="D258" s="44" t="s">
        <v>555</v>
      </c>
      <c r="E258" s="22" t="s">
        <v>17</v>
      </c>
      <c r="F258" s="23">
        <v>4</v>
      </c>
      <c r="G258" s="37">
        <v>24.16</v>
      </c>
      <c r="H258" s="38">
        <f t="shared" si="131"/>
        <v>24.16</v>
      </c>
      <c r="I258" s="83">
        <f t="shared" si="130"/>
        <v>96.64</v>
      </c>
      <c r="K258" s="340"/>
    </row>
    <row r="259" spans="1:11" s="339" customFormat="1" ht="22.5" x14ac:dyDescent="0.25">
      <c r="A259" s="82" t="s">
        <v>651</v>
      </c>
      <c r="B259" s="29">
        <v>95801</v>
      </c>
      <c r="C259" s="29" t="s">
        <v>12</v>
      </c>
      <c r="D259" s="44" t="s">
        <v>557</v>
      </c>
      <c r="E259" s="22" t="s">
        <v>17</v>
      </c>
      <c r="F259" s="23">
        <v>1</v>
      </c>
      <c r="G259" s="37">
        <v>28.94</v>
      </c>
      <c r="H259" s="38">
        <f t="shared" si="131"/>
        <v>28.94</v>
      </c>
      <c r="I259" s="83">
        <f t="shared" si="130"/>
        <v>28.94</v>
      </c>
      <c r="K259" s="340"/>
    </row>
    <row r="260" spans="1:11" s="339" customFormat="1" ht="22.5" x14ac:dyDescent="0.25">
      <c r="A260" s="82" t="s">
        <v>652</v>
      </c>
      <c r="B260" s="29">
        <v>91926</v>
      </c>
      <c r="C260" s="29" t="s">
        <v>12</v>
      </c>
      <c r="D260" s="44" t="s">
        <v>558</v>
      </c>
      <c r="E260" s="22" t="s">
        <v>122</v>
      </c>
      <c r="F260" s="23">
        <v>190</v>
      </c>
      <c r="G260" s="37">
        <v>2.54</v>
      </c>
      <c r="H260" s="38">
        <f t="shared" si="131"/>
        <v>2.54</v>
      </c>
      <c r="I260" s="83">
        <f t="shared" si="130"/>
        <v>482.6</v>
      </c>
      <c r="K260" s="340"/>
    </row>
    <row r="261" spans="1:11" s="339" customFormat="1" ht="22.5" x14ac:dyDescent="0.25">
      <c r="A261" s="82" t="s">
        <v>653</v>
      </c>
      <c r="B261" s="29">
        <v>91928</v>
      </c>
      <c r="C261" s="29" t="s">
        <v>12</v>
      </c>
      <c r="D261" s="44" t="s">
        <v>559</v>
      </c>
      <c r="E261" s="22" t="s">
        <v>122</v>
      </c>
      <c r="F261" s="23">
        <v>820</v>
      </c>
      <c r="G261" s="37">
        <v>4.03</v>
      </c>
      <c r="H261" s="38">
        <f t="shared" si="131"/>
        <v>4.03</v>
      </c>
      <c r="I261" s="83">
        <f t="shared" si="130"/>
        <v>3304.6000000000004</v>
      </c>
      <c r="K261" s="340"/>
    </row>
    <row r="262" spans="1:11" s="339" customFormat="1" ht="22.5" x14ac:dyDescent="0.25">
      <c r="A262" s="82" t="s">
        <v>654</v>
      </c>
      <c r="B262" s="29">
        <v>91934</v>
      </c>
      <c r="C262" s="29" t="s">
        <v>12</v>
      </c>
      <c r="D262" s="44" t="s">
        <v>560</v>
      </c>
      <c r="E262" s="22" t="s">
        <v>122</v>
      </c>
      <c r="F262" s="23">
        <v>14</v>
      </c>
      <c r="G262" s="37">
        <v>13.71</v>
      </c>
      <c r="H262" s="38">
        <f t="shared" si="131"/>
        <v>13.71</v>
      </c>
      <c r="I262" s="83">
        <f t="shared" si="130"/>
        <v>191.94</v>
      </c>
      <c r="K262" s="340"/>
    </row>
    <row r="263" spans="1:11" s="339" customFormat="1" ht="22.5" x14ac:dyDescent="0.25">
      <c r="A263" s="82" t="s">
        <v>655</v>
      </c>
      <c r="B263" s="29">
        <v>92985</v>
      </c>
      <c r="C263" s="29" t="s">
        <v>12</v>
      </c>
      <c r="D263" s="44" t="s">
        <v>561</v>
      </c>
      <c r="E263" s="22" t="s">
        <v>122</v>
      </c>
      <c r="F263" s="23">
        <v>41</v>
      </c>
      <c r="G263" s="37">
        <v>20.72</v>
      </c>
      <c r="H263" s="38">
        <f t="shared" si="131"/>
        <v>20.72</v>
      </c>
      <c r="I263" s="83">
        <f t="shared" si="130"/>
        <v>849.52</v>
      </c>
      <c r="K263" s="340"/>
    </row>
    <row r="264" spans="1:11" s="339" customFormat="1" x14ac:dyDescent="0.25">
      <c r="A264" s="82" t="s">
        <v>656</v>
      </c>
      <c r="B264" s="29">
        <v>478</v>
      </c>
      <c r="C264" s="29" t="s">
        <v>23</v>
      </c>
      <c r="D264" s="44" t="s">
        <v>562</v>
      </c>
      <c r="E264" s="22" t="s">
        <v>17</v>
      </c>
      <c r="F264" s="23">
        <v>2</v>
      </c>
      <c r="G264" s="37">
        <v>15.02</v>
      </c>
      <c r="H264" s="38">
        <f t="shared" si="131"/>
        <v>15.02</v>
      </c>
      <c r="I264" s="83">
        <f t="shared" si="130"/>
        <v>30.04</v>
      </c>
      <c r="K264" s="340"/>
    </row>
    <row r="265" spans="1:11" s="339" customFormat="1" x14ac:dyDescent="0.25">
      <c r="A265" s="82" t="s">
        <v>657</v>
      </c>
      <c r="B265" s="29">
        <v>780</v>
      </c>
      <c r="C265" s="29" t="s">
        <v>23</v>
      </c>
      <c r="D265" s="44" t="s">
        <v>563</v>
      </c>
      <c r="E265" s="22" t="s">
        <v>17</v>
      </c>
      <c r="F265" s="23">
        <v>1</v>
      </c>
      <c r="G265" s="37">
        <v>57.9</v>
      </c>
      <c r="H265" s="38">
        <f t="shared" si="131"/>
        <v>57.9</v>
      </c>
      <c r="I265" s="83">
        <f t="shared" si="130"/>
        <v>57.9</v>
      </c>
      <c r="K265" s="340"/>
    </row>
    <row r="266" spans="1:11" s="339" customFormat="1" x14ac:dyDescent="0.25">
      <c r="A266" s="82" t="s">
        <v>658</v>
      </c>
      <c r="B266" s="29">
        <v>3401</v>
      </c>
      <c r="C266" s="29" t="s">
        <v>23</v>
      </c>
      <c r="D266" s="44" t="s">
        <v>564</v>
      </c>
      <c r="E266" s="22" t="s">
        <v>17</v>
      </c>
      <c r="F266" s="23">
        <v>7</v>
      </c>
      <c r="G266" s="37">
        <v>6.35</v>
      </c>
      <c r="H266" s="38">
        <f t="shared" si="131"/>
        <v>6.35</v>
      </c>
      <c r="I266" s="83">
        <f t="shared" si="130"/>
        <v>44.449999999999996</v>
      </c>
      <c r="K266" s="340"/>
    </row>
    <row r="267" spans="1:11" s="339" customFormat="1" x14ac:dyDescent="0.25">
      <c r="A267" s="82" t="s">
        <v>659</v>
      </c>
      <c r="B267" s="29">
        <v>34653</v>
      </c>
      <c r="C267" s="29" t="s">
        <v>12</v>
      </c>
      <c r="D267" s="44" t="s">
        <v>565</v>
      </c>
      <c r="E267" s="22" t="s">
        <v>17</v>
      </c>
      <c r="F267" s="23">
        <v>5</v>
      </c>
      <c r="G267" s="37">
        <v>8.57</v>
      </c>
      <c r="H267" s="38">
        <f t="shared" si="131"/>
        <v>8.57</v>
      </c>
      <c r="I267" s="83">
        <f t="shared" si="130"/>
        <v>42.85</v>
      </c>
      <c r="K267" s="340"/>
    </row>
    <row r="268" spans="1:11" s="339" customFormat="1" x14ac:dyDescent="0.25">
      <c r="A268" s="82" t="s">
        <v>660</v>
      </c>
      <c r="B268" s="29">
        <v>34616</v>
      </c>
      <c r="C268" s="29" t="s">
        <v>12</v>
      </c>
      <c r="D268" s="44" t="s">
        <v>566</v>
      </c>
      <c r="E268" s="22" t="s">
        <v>17</v>
      </c>
      <c r="F268" s="23">
        <v>13</v>
      </c>
      <c r="G268" s="37">
        <v>49.12</v>
      </c>
      <c r="H268" s="38">
        <f t="shared" si="131"/>
        <v>49.12</v>
      </c>
      <c r="I268" s="83">
        <f t="shared" si="130"/>
        <v>638.55999999999995</v>
      </c>
      <c r="K268" s="340"/>
    </row>
    <row r="269" spans="1:11" s="339" customFormat="1" x14ac:dyDescent="0.25">
      <c r="A269" s="82" t="s">
        <v>661</v>
      </c>
      <c r="B269" s="29">
        <v>2374</v>
      </c>
      <c r="C269" s="29" t="s">
        <v>12</v>
      </c>
      <c r="D269" s="44" t="s">
        <v>567</v>
      </c>
      <c r="E269" s="22" t="s">
        <v>17</v>
      </c>
      <c r="F269" s="23">
        <v>2</v>
      </c>
      <c r="G269" s="37">
        <v>372.46</v>
      </c>
      <c r="H269" s="38">
        <f t="shared" si="131"/>
        <v>372.46</v>
      </c>
      <c r="I269" s="83">
        <f t="shared" si="130"/>
        <v>744.92</v>
      </c>
      <c r="K269" s="340"/>
    </row>
    <row r="270" spans="1:11" s="339" customFormat="1" x14ac:dyDescent="0.25">
      <c r="A270" s="82" t="s">
        <v>662</v>
      </c>
      <c r="B270" s="29">
        <v>2377</v>
      </c>
      <c r="C270" s="29" t="s">
        <v>12</v>
      </c>
      <c r="D270" s="44" t="s">
        <v>568</v>
      </c>
      <c r="E270" s="22" t="s">
        <v>17</v>
      </c>
      <c r="F270" s="23">
        <v>1</v>
      </c>
      <c r="G270" s="37">
        <v>522.71</v>
      </c>
      <c r="H270" s="38">
        <f t="shared" si="131"/>
        <v>522.71</v>
      </c>
      <c r="I270" s="83">
        <f t="shared" si="130"/>
        <v>522.71</v>
      </c>
      <c r="K270" s="340"/>
    </row>
    <row r="271" spans="1:11" s="339" customFormat="1" x14ac:dyDescent="0.25">
      <c r="A271" s="82" t="s">
        <v>663</v>
      </c>
      <c r="B271" s="29">
        <v>39459</v>
      </c>
      <c r="C271" s="29" t="s">
        <v>12</v>
      </c>
      <c r="D271" s="44" t="s">
        <v>569</v>
      </c>
      <c r="E271" s="22" t="s">
        <v>17</v>
      </c>
      <c r="F271" s="23">
        <v>1</v>
      </c>
      <c r="G271" s="37">
        <v>262.82</v>
      </c>
      <c r="H271" s="38">
        <f t="shared" si="131"/>
        <v>262.82</v>
      </c>
      <c r="I271" s="83">
        <f t="shared" si="130"/>
        <v>262.82</v>
      </c>
      <c r="K271" s="340"/>
    </row>
    <row r="272" spans="1:11" s="339" customFormat="1" x14ac:dyDescent="0.25">
      <c r="A272" s="82" t="s">
        <v>664</v>
      </c>
      <c r="B272" s="29">
        <v>11386</v>
      </c>
      <c r="C272" s="29" t="s">
        <v>23</v>
      </c>
      <c r="D272" s="44" t="s">
        <v>570</v>
      </c>
      <c r="E272" s="22" t="s">
        <v>17</v>
      </c>
      <c r="F272" s="23">
        <v>1</v>
      </c>
      <c r="G272" s="37">
        <v>1765.43</v>
      </c>
      <c r="H272" s="38">
        <f t="shared" si="131"/>
        <v>1765.43</v>
      </c>
      <c r="I272" s="83">
        <f t="shared" si="130"/>
        <v>1765.43</v>
      </c>
      <c r="K272" s="340"/>
    </row>
    <row r="273" spans="1:12" s="339" customFormat="1" ht="33.75" x14ac:dyDescent="0.25">
      <c r="A273" s="82" t="s">
        <v>665</v>
      </c>
      <c r="B273" s="29">
        <v>83463</v>
      </c>
      <c r="C273" s="29" t="s">
        <v>12</v>
      </c>
      <c r="D273" s="44" t="s">
        <v>571</v>
      </c>
      <c r="E273" s="22" t="s">
        <v>17</v>
      </c>
      <c r="F273" s="23">
        <v>2</v>
      </c>
      <c r="G273" s="37">
        <v>203.52</v>
      </c>
      <c r="H273" s="38">
        <f t="shared" si="131"/>
        <v>203.52</v>
      </c>
      <c r="I273" s="83">
        <f t="shared" si="130"/>
        <v>407.04</v>
      </c>
      <c r="K273" s="340"/>
    </row>
    <row r="274" spans="1:12" s="339" customFormat="1" ht="22.5" x14ac:dyDescent="0.25">
      <c r="A274" s="82" t="s">
        <v>666</v>
      </c>
      <c r="B274" s="29" t="s">
        <v>572</v>
      </c>
      <c r="C274" s="29" t="s">
        <v>12</v>
      </c>
      <c r="D274" s="44" t="s">
        <v>573</v>
      </c>
      <c r="E274" s="22" t="s">
        <v>17</v>
      </c>
      <c r="F274" s="23">
        <v>6</v>
      </c>
      <c r="G274" s="37">
        <v>203.93</v>
      </c>
      <c r="H274" s="38">
        <f t="shared" si="131"/>
        <v>203.93</v>
      </c>
      <c r="I274" s="83">
        <f t="shared" si="130"/>
        <v>1223.58</v>
      </c>
      <c r="K274" s="340"/>
    </row>
    <row r="275" spans="1:12" s="339" customFormat="1" ht="22.5" x14ac:dyDescent="0.25">
      <c r="A275" s="82" t="s">
        <v>667</v>
      </c>
      <c r="B275" s="29">
        <f>Composições!B76</f>
        <v>14</v>
      </c>
      <c r="C275" s="29" t="str">
        <f>Composições!C76</f>
        <v>COMP</v>
      </c>
      <c r="D275" s="44" t="str">
        <f>Composições!D76</f>
        <v>LUMINARIA SOBREPOR TP CALHA C/REATOR PART CONVENC LAMP 1X40W E STARTERFIX EM LAJE OU FORRO - FORNECIMENTO E COLOCACAO</v>
      </c>
      <c r="E275" s="22" t="s">
        <v>17</v>
      </c>
      <c r="F275" s="23">
        <v>1</v>
      </c>
      <c r="G275" s="37">
        <f>Composições!H76</f>
        <v>76.49499999999999</v>
      </c>
      <c r="H275" s="38">
        <f t="shared" si="131"/>
        <v>76.49499999999999</v>
      </c>
      <c r="I275" s="83">
        <f t="shared" si="130"/>
        <v>76.49499999999999</v>
      </c>
      <c r="K275" s="340"/>
    </row>
    <row r="276" spans="1:12" s="348" customFormat="1" ht="22.5" x14ac:dyDescent="0.25">
      <c r="A276" s="173" t="s">
        <v>668</v>
      </c>
      <c r="B276" s="162">
        <f>Composições!B80</f>
        <v>15</v>
      </c>
      <c r="C276" s="162" t="str">
        <f>Composições!C80</f>
        <v>COMP</v>
      </c>
      <c r="D276" s="48" t="str">
        <f>Composições!D80</f>
        <v>Luminária industrial de embutir, em alumínio, p/ lâmpada mista ou vapor mercúrio, ref.:tb-105/2, Tecnolux ou similar, inclusive lâmpada de luz mista 500 W</v>
      </c>
      <c r="E276" s="346" t="s">
        <v>17</v>
      </c>
      <c r="F276" s="347">
        <v>15</v>
      </c>
      <c r="G276" s="37">
        <f>Composições!H80</f>
        <v>233.95</v>
      </c>
      <c r="H276" s="38">
        <f t="shared" si="131"/>
        <v>233.95</v>
      </c>
      <c r="I276" s="83">
        <f t="shared" si="130"/>
        <v>3509.25</v>
      </c>
      <c r="K276" s="349"/>
    </row>
    <row r="277" spans="1:12" s="339" customFormat="1" x14ac:dyDescent="0.25">
      <c r="A277" s="86" t="s">
        <v>669</v>
      </c>
      <c r="B277" s="39"/>
      <c r="C277" s="39"/>
      <c r="D277" s="36" t="s">
        <v>518</v>
      </c>
      <c r="E277" s="56"/>
      <c r="F277" s="56"/>
      <c r="G277" s="41"/>
      <c r="H277" s="42"/>
      <c r="I277" s="85">
        <f>SUM(I278:I279)</f>
        <v>14388.214700000002</v>
      </c>
      <c r="L277" s="341"/>
    </row>
    <row r="278" spans="1:12" s="339" customFormat="1" ht="33.75" x14ac:dyDescent="0.25">
      <c r="A278" s="82" t="s">
        <v>670</v>
      </c>
      <c r="B278" s="29">
        <v>94997</v>
      </c>
      <c r="C278" s="29" t="s">
        <v>12</v>
      </c>
      <c r="D278" s="44" t="s">
        <v>519</v>
      </c>
      <c r="E278" s="22" t="s">
        <v>6</v>
      </c>
      <c r="F278" s="23">
        <v>195.79</v>
      </c>
      <c r="G278" s="37">
        <v>67.930000000000007</v>
      </c>
      <c r="H278" s="38">
        <f>G278*(1+$I$5)</f>
        <v>67.930000000000007</v>
      </c>
      <c r="I278" s="83">
        <f>G278*F278*(1+$I$5)</f>
        <v>13300.014700000002</v>
      </c>
      <c r="K278" s="340"/>
    </row>
    <row r="279" spans="1:12" s="339" customFormat="1" ht="22.5" x14ac:dyDescent="0.25">
      <c r="A279" s="82" t="s">
        <v>671</v>
      </c>
      <c r="B279" s="29">
        <v>12214</v>
      </c>
      <c r="C279" s="29" t="s">
        <v>12</v>
      </c>
      <c r="D279" s="44" t="s">
        <v>520</v>
      </c>
      <c r="E279" s="22" t="s">
        <v>6</v>
      </c>
      <c r="F279" s="23">
        <v>4</v>
      </c>
      <c r="G279" s="37">
        <v>272.05</v>
      </c>
      <c r="H279" s="38">
        <f>G279*(1+$I$5)</f>
        <v>272.05</v>
      </c>
      <c r="I279" s="83">
        <f>G279*F279*(1+$I$5)</f>
        <v>1088.2</v>
      </c>
      <c r="K279" s="340"/>
    </row>
    <row r="280" spans="1:12" s="339" customFormat="1" x14ac:dyDescent="0.25">
      <c r="A280" s="86" t="s">
        <v>672</v>
      </c>
      <c r="B280" s="39"/>
      <c r="C280" s="39"/>
      <c r="D280" s="36" t="s">
        <v>574</v>
      </c>
      <c r="E280" s="56"/>
      <c r="F280" s="56"/>
      <c r="G280" s="41"/>
      <c r="H280" s="42"/>
      <c r="I280" s="85">
        <f>SUM(I281:I287)</f>
        <v>3209.01</v>
      </c>
    </row>
    <row r="281" spans="1:12" s="339" customFormat="1" x14ac:dyDescent="0.25">
      <c r="A281" s="82" t="s">
        <v>673</v>
      </c>
      <c r="B281" s="29">
        <v>4429</v>
      </c>
      <c r="C281" s="29" t="s">
        <v>23</v>
      </c>
      <c r="D281" s="44" t="s">
        <v>575</v>
      </c>
      <c r="E281" s="22" t="s">
        <v>17</v>
      </c>
      <c r="F281" s="23">
        <v>5</v>
      </c>
      <c r="G281" s="37">
        <v>107.57</v>
      </c>
      <c r="H281" s="38">
        <f t="shared" ref="H281:H287" si="132">G281*(1+$I$5)</f>
        <v>107.57</v>
      </c>
      <c r="I281" s="83">
        <f t="shared" ref="I281:I287" si="133">G281*F281*(1+$I$5)</f>
        <v>537.84999999999991</v>
      </c>
      <c r="K281" s="340"/>
    </row>
    <row r="282" spans="1:12" s="339" customFormat="1" x14ac:dyDescent="0.25">
      <c r="A282" s="82" t="s">
        <v>674</v>
      </c>
      <c r="B282" s="29">
        <v>11108</v>
      </c>
      <c r="C282" s="29" t="s">
        <v>23</v>
      </c>
      <c r="D282" s="44" t="s">
        <v>576</v>
      </c>
      <c r="E282" s="22" t="s">
        <v>17</v>
      </c>
      <c r="F282" s="23">
        <v>5</v>
      </c>
      <c r="G282" s="37">
        <v>246.9</v>
      </c>
      <c r="H282" s="38">
        <f t="shared" si="132"/>
        <v>246.9</v>
      </c>
      <c r="I282" s="83">
        <f t="shared" si="133"/>
        <v>1234.5</v>
      </c>
      <c r="K282" s="340"/>
    </row>
    <row r="283" spans="1:12" s="339" customFormat="1" x14ac:dyDescent="0.25">
      <c r="A283" s="82" t="s">
        <v>675</v>
      </c>
      <c r="B283" s="29">
        <v>681</v>
      </c>
      <c r="C283" s="29" t="s">
        <v>23</v>
      </c>
      <c r="D283" s="44" t="s">
        <v>577</v>
      </c>
      <c r="E283" s="22" t="s">
        <v>17</v>
      </c>
      <c r="F283" s="23">
        <v>12</v>
      </c>
      <c r="G283" s="37">
        <v>3</v>
      </c>
      <c r="H283" s="38">
        <f t="shared" si="132"/>
        <v>3</v>
      </c>
      <c r="I283" s="83">
        <f t="shared" si="133"/>
        <v>36</v>
      </c>
      <c r="K283" s="340"/>
    </row>
    <row r="284" spans="1:12" s="339" customFormat="1" ht="22.5" x14ac:dyDescent="0.25">
      <c r="A284" s="82" t="s">
        <v>676</v>
      </c>
      <c r="B284" s="29">
        <v>96973</v>
      </c>
      <c r="C284" s="29" t="s">
        <v>12</v>
      </c>
      <c r="D284" s="44" t="s">
        <v>578</v>
      </c>
      <c r="E284" s="22" t="s">
        <v>17</v>
      </c>
      <c r="F284" s="23">
        <v>24</v>
      </c>
      <c r="G284" s="37">
        <v>39.520000000000003</v>
      </c>
      <c r="H284" s="38">
        <f t="shared" si="132"/>
        <v>39.520000000000003</v>
      </c>
      <c r="I284" s="83">
        <f t="shared" si="133"/>
        <v>948.48</v>
      </c>
      <c r="K284" s="340"/>
    </row>
    <row r="285" spans="1:12" s="339" customFormat="1" x14ac:dyDescent="0.25">
      <c r="A285" s="82" t="s">
        <v>677</v>
      </c>
      <c r="B285" s="29">
        <v>96985</v>
      </c>
      <c r="C285" s="29" t="s">
        <v>12</v>
      </c>
      <c r="D285" s="44" t="s">
        <v>579</v>
      </c>
      <c r="E285" s="22" t="s">
        <v>17</v>
      </c>
      <c r="F285" s="23">
        <v>5</v>
      </c>
      <c r="G285" s="37">
        <v>38.33</v>
      </c>
      <c r="H285" s="38">
        <f t="shared" si="132"/>
        <v>38.33</v>
      </c>
      <c r="I285" s="83">
        <f t="shared" si="133"/>
        <v>191.64999999999998</v>
      </c>
      <c r="K285" s="340"/>
    </row>
    <row r="286" spans="1:12" s="339" customFormat="1" ht="22.5" x14ac:dyDescent="0.25">
      <c r="A286" s="82" t="s">
        <v>678</v>
      </c>
      <c r="B286" s="29">
        <v>89448</v>
      </c>
      <c r="C286" s="29" t="s">
        <v>12</v>
      </c>
      <c r="D286" s="44" t="s">
        <v>580</v>
      </c>
      <c r="E286" s="22" t="s">
        <v>17</v>
      </c>
      <c r="F286" s="23">
        <v>18</v>
      </c>
      <c r="G286" s="37">
        <v>8.86</v>
      </c>
      <c r="H286" s="38">
        <f t="shared" si="132"/>
        <v>8.86</v>
      </c>
      <c r="I286" s="83">
        <f t="shared" si="133"/>
        <v>159.47999999999999</v>
      </c>
      <c r="K286" s="340"/>
    </row>
    <row r="287" spans="1:12" s="339" customFormat="1" ht="22.5" x14ac:dyDescent="0.25">
      <c r="A287" s="82" t="s">
        <v>679</v>
      </c>
      <c r="B287" s="29">
        <v>1594</v>
      </c>
      <c r="C287" s="29" t="s">
        <v>12</v>
      </c>
      <c r="D287" s="44" t="s">
        <v>581</v>
      </c>
      <c r="E287" s="22" t="s">
        <v>17</v>
      </c>
      <c r="F287" s="23">
        <v>5</v>
      </c>
      <c r="G287" s="37">
        <v>20.21</v>
      </c>
      <c r="H287" s="38">
        <f t="shared" si="132"/>
        <v>20.21</v>
      </c>
      <c r="I287" s="83">
        <f t="shared" si="133"/>
        <v>101.05000000000001</v>
      </c>
      <c r="K287" s="340"/>
    </row>
    <row r="288" spans="1:12" s="339" customFormat="1" x14ac:dyDescent="0.25">
      <c r="A288" s="86" t="s">
        <v>680</v>
      </c>
      <c r="B288" s="39"/>
      <c r="C288" s="39"/>
      <c r="D288" s="36" t="s">
        <v>582</v>
      </c>
      <c r="E288" s="56"/>
      <c r="F288" s="56"/>
      <c r="G288" s="41"/>
      <c r="H288" s="42"/>
      <c r="I288" s="85">
        <f>SUM(I289:I298)</f>
        <v>20583.696169999996</v>
      </c>
    </row>
    <row r="289" spans="1:11" s="339" customFormat="1" ht="33.75" x14ac:dyDescent="0.25">
      <c r="A289" s="82" t="s">
        <v>681</v>
      </c>
      <c r="B289" s="29">
        <f>Composições!B7</f>
        <v>1</v>
      </c>
      <c r="C289" s="29" t="str">
        <f>Composições!C7</f>
        <v>COMP</v>
      </c>
      <c r="D289" s="44" t="str">
        <f>Composições!D7</f>
        <v>ALAMBRADO PARA QUADRA POLIESPORTIVA, ESTRUTURADO POR TUBOS DE ACO GALVANIZADO, COM COSTURA, DIN 2440, DIAMETRO 2", COM TELA DE ARAME GALVANIZADO, FIO 14 BWG E MALHA QUADRADA 5X5CM</v>
      </c>
      <c r="E289" s="22" t="s">
        <v>6</v>
      </c>
      <c r="F289" s="23">
        <v>147</v>
      </c>
      <c r="G289" s="37">
        <f>Composições!H7</f>
        <v>64.709309999999988</v>
      </c>
      <c r="H289" s="38">
        <f>G289*(1+$I$5)</f>
        <v>64.709309999999988</v>
      </c>
      <c r="I289" s="83">
        <f t="shared" ref="I289:I298" si="134">G289*F289*(1+$I$5)</f>
        <v>9512.2685699999984</v>
      </c>
      <c r="K289" s="340"/>
    </row>
    <row r="290" spans="1:11" s="339" customFormat="1" ht="22.5" x14ac:dyDescent="0.25">
      <c r="A290" s="82" t="s">
        <v>682</v>
      </c>
      <c r="B290" s="29">
        <v>10000</v>
      </c>
      <c r="C290" s="29" t="s">
        <v>23</v>
      </c>
      <c r="D290" s="44" t="s">
        <v>181</v>
      </c>
      <c r="E290" s="22" t="s">
        <v>17</v>
      </c>
      <c r="F290" s="23">
        <v>4</v>
      </c>
      <c r="G290" s="37">
        <v>334.61</v>
      </c>
      <c r="H290" s="38">
        <f t="shared" ref="H290:H298" si="135">G290*(1+$I$5)</f>
        <v>334.61</v>
      </c>
      <c r="I290" s="83">
        <f t="shared" si="134"/>
        <v>1338.44</v>
      </c>
      <c r="K290" s="340"/>
    </row>
    <row r="291" spans="1:11" s="339" customFormat="1" x14ac:dyDescent="0.25">
      <c r="A291" s="82" t="s">
        <v>683</v>
      </c>
      <c r="B291" s="29">
        <v>36220</v>
      </c>
      <c r="C291" s="29" t="s">
        <v>12</v>
      </c>
      <c r="D291" s="44" t="s">
        <v>337</v>
      </c>
      <c r="E291" s="22" t="s">
        <v>17</v>
      </c>
      <c r="F291" s="23">
        <f>2*2</f>
        <v>4</v>
      </c>
      <c r="G291" s="37">
        <v>106.54</v>
      </c>
      <c r="H291" s="38">
        <f t="shared" si="135"/>
        <v>106.54</v>
      </c>
      <c r="I291" s="83">
        <f t="shared" si="134"/>
        <v>426.16</v>
      </c>
      <c r="K291" s="340"/>
    </row>
    <row r="292" spans="1:11" s="339" customFormat="1" x14ac:dyDescent="0.25">
      <c r="A292" s="82" t="s">
        <v>684</v>
      </c>
      <c r="B292" s="29">
        <v>36080</v>
      </c>
      <c r="C292" s="29" t="s">
        <v>12</v>
      </c>
      <c r="D292" s="44" t="s">
        <v>583</v>
      </c>
      <c r="E292" s="22" t="s">
        <v>17</v>
      </c>
      <c r="F292" s="23">
        <v>8</v>
      </c>
      <c r="G292" s="37">
        <v>115.24</v>
      </c>
      <c r="H292" s="38">
        <f t="shared" si="135"/>
        <v>115.24</v>
      </c>
      <c r="I292" s="83">
        <f t="shared" si="134"/>
        <v>921.92</v>
      </c>
      <c r="K292" s="340"/>
    </row>
    <row r="293" spans="1:11" s="339" customFormat="1" x14ac:dyDescent="0.25">
      <c r="A293" s="82" t="s">
        <v>685</v>
      </c>
      <c r="B293" s="29">
        <v>85005</v>
      </c>
      <c r="C293" s="29" t="s">
        <v>12</v>
      </c>
      <c r="D293" s="44" t="s">
        <v>584</v>
      </c>
      <c r="E293" s="22" t="s">
        <v>6</v>
      </c>
      <c r="F293" s="23">
        <v>4.5</v>
      </c>
      <c r="G293" s="37">
        <v>354.03</v>
      </c>
      <c r="H293" s="38">
        <f t="shared" si="135"/>
        <v>354.03</v>
      </c>
      <c r="I293" s="83">
        <f t="shared" si="134"/>
        <v>1593.1349999999998</v>
      </c>
      <c r="K293" s="340"/>
    </row>
    <row r="294" spans="1:11" s="339" customFormat="1" ht="22.5" x14ac:dyDescent="0.25">
      <c r="A294" s="82" t="s">
        <v>686</v>
      </c>
      <c r="B294" s="29">
        <v>25400</v>
      </c>
      <c r="C294" s="29" t="s">
        <v>12</v>
      </c>
      <c r="D294" s="44" t="s">
        <v>585</v>
      </c>
      <c r="E294" s="22" t="s">
        <v>586</v>
      </c>
      <c r="F294" s="23">
        <v>1</v>
      </c>
      <c r="G294" s="37">
        <v>1454.37</v>
      </c>
      <c r="H294" s="38">
        <f t="shared" si="135"/>
        <v>1454.37</v>
      </c>
      <c r="I294" s="83">
        <f t="shared" si="134"/>
        <v>1454.37</v>
      </c>
      <c r="K294" s="340"/>
    </row>
    <row r="295" spans="1:11" s="339" customFormat="1" ht="33.75" x14ac:dyDescent="0.25">
      <c r="A295" s="82" t="s">
        <v>687</v>
      </c>
      <c r="B295" s="29">
        <v>25398</v>
      </c>
      <c r="C295" s="29" t="s">
        <v>12</v>
      </c>
      <c r="D295" s="44" t="s">
        <v>587</v>
      </c>
      <c r="E295" s="22" t="s">
        <v>586</v>
      </c>
      <c r="F295" s="23">
        <v>1</v>
      </c>
      <c r="G295" s="37">
        <v>2307.08</v>
      </c>
      <c r="H295" s="38">
        <f t="shared" si="135"/>
        <v>2307.08</v>
      </c>
      <c r="I295" s="83">
        <f t="shared" si="134"/>
        <v>2307.08</v>
      </c>
      <c r="K295" s="340"/>
    </row>
    <row r="296" spans="1:11" s="339" customFormat="1" ht="33.75" x14ac:dyDescent="0.25">
      <c r="A296" s="82" t="s">
        <v>688</v>
      </c>
      <c r="B296" s="29">
        <v>25399</v>
      </c>
      <c r="C296" s="29" t="s">
        <v>12</v>
      </c>
      <c r="D296" s="44" t="s">
        <v>588</v>
      </c>
      <c r="E296" s="22" t="s">
        <v>586</v>
      </c>
      <c r="F296" s="23">
        <v>1</v>
      </c>
      <c r="G296" s="37">
        <v>1400.6</v>
      </c>
      <c r="H296" s="38">
        <f t="shared" si="135"/>
        <v>1400.6</v>
      </c>
      <c r="I296" s="83">
        <f t="shared" si="134"/>
        <v>1400.6</v>
      </c>
      <c r="K296" s="340"/>
    </row>
    <row r="297" spans="1:11" s="339" customFormat="1" x14ac:dyDescent="0.25">
      <c r="A297" s="82" t="s">
        <v>689</v>
      </c>
      <c r="B297" s="29">
        <v>98689</v>
      </c>
      <c r="C297" s="29" t="s">
        <v>12</v>
      </c>
      <c r="D297" s="44" t="s">
        <v>589</v>
      </c>
      <c r="E297" s="22" t="s">
        <v>122</v>
      </c>
      <c r="F297" s="23">
        <v>2.9</v>
      </c>
      <c r="G297" s="37">
        <v>53.95</v>
      </c>
      <c r="H297" s="38">
        <f t="shared" si="135"/>
        <v>53.95</v>
      </c>
      <c r="I297" s="83">
        <f t="shared" si="134"/>
        <v>156.45500000000001</v>
      </c>
      <c r="K297" s="340"/>
    </row>
    <row r="298" spans="1:11" s="339" customFormat="1" ht="15.75" thickBot="1" x14ac:dyDescent="0.3">
      <c r="A298" s="82" t="s">
        <v>690</v>
      </c>
      <c r="B298" s="29">
        <v>2450</v>
      </c>
      <c r="C298" s="29" t="s">
        <v>23</v>
      </c>
      <c r="D298" s="44" t="s">
        <v>590</v>
      </c>
      <c r="E298" s="22" t="s">
        <v>6</v>
      </c>
      <c r="F298" s="23">
        <v>861.56</v>
      </c>
      <c r="G298" s="37">
        <v>1.71</v>
      </c>
      <c r="H298" s="38">
        <f t="shared" si="135"/>
        <v>1.71</v>
      </c>
      <c r="I298" s="83">
        <f t="shared" si="134"/>
        <v>1473.2675999999999</v>
      </c>
      <c r="K298" s="340"/>
    </row>
    <row r="299" spans="1:11" ht="15.75" thickBot="1" x14ac:dyDescent="0.3">
      <c r="A299" s="2"/>
      <c r="B299" s="51"/>
      <c r="C299" s="51"/>
      <c r="D299" s="2"/>
      <c r="E299" s="57"/>
      <c r="F299" s="2"/>
      <c r="G299" s="89" t="s">
        <v>57</v>
      </c>
      <c r="H299" s="90"/>
      <c r="I299" s="91">
        <f>SUM(I7:I298)/3</f>
        <v>2039180.4194008794</v>
      </c>
    </row>
    <row r="300" spans="1:11" x14ac:dyDescent="0.25">
      <c r="A300" s="2"/>
      <c r="B300" s="51"/>
      <c r="C300" s="51"/>
      <c r="D300" s="2"/>
      <c r="E300" s="57"/>
      <c r="F300" s="15"/>
      <c r="G300" s="363"/>
      <c r="H300" s="363"/>
      <c r="I300" s="363"/>
    </row>
    <row r="301" spans="1:11" x14ac:dyDescent="0.25">
      <c r="A301" s="2"/>
      <c r="B301" s="51"/>
      <c r="C301" s="51"/>
      <c r="D301" s="2"/>
      <c r="E301" s="58"/>
      <c r="F301" s="15"/>
      <c r="G301" s="363"/>
      <c r="H301" s="363"/>
      <c r="I301" s="363"/>
    </row>
    <row r="302" spans="1:11" x14ac:dyDescent="0.25">
      <c r="A302" s="2"/>
      <c r="B302" s="51"/>
      <c r="C302" s="51"/>
      <c r="D302" s="2"/>
      <c r="E302" s="57"/>
      <c r="F302" s="15"/>
      <c r="G302" s="363"/>
      <c r="H302" s="363"/>
      <c r="I302" s="363"/>
    </row>
    <row r="303" spans="1:11" ht="75" customHeight="1" x14ac:dyDescent="0.25">
      <c r="A303" s="2"/>
      <c r="B303" s="51"/>
      <c r="C303" s="51"/>
      <c r="D303" s="2"/>
      <c r="E303" s="57"/>
      <c r="F303" s="2"/>
      <c r="G303" s="2"/>
      <c r="H303" s="2"/>
      <c r="I303" s="2"/>
    </row>
    <row r="304" spans="1:11" ht="39.950000000000003" customHeight="1" x14ac:dyDescent="0.25">
      <c r="A304" s="350" t="s">
        <v>55</v>
      </c>
      <c r="B304" s="350"/>
      <c r="C304" s="350"/>
      <c r="D304" s="350"/>
      <c r="E304" s="350"/>
      <c r="F304" s="350"/>
      <c r="G304" s="350"/>
      <c r="H304" s="350"/>
      <c r="I304" s="350"/>
    </row>
  </sheetData>
  <mergeCells count="12">
    <mergeCell ref="A304:I304"/>
    <mergeCell ref="A3:D3"/>
    <mergeCell ref="A4:D4"/>
    <mergeCell ref="A1:D1"/>
    <mergeCell ref="F1:G1"/>
    <mergeCell ref="H1:I1"/>
    <mergeCell ref="A2:D2"/>
    <mergeCell ref="F2:G2"/>
    <mergeCell ref="H2:I2"/>
    <mergeCell ref="G302:I302"/>
    <mergeCell ref="G300:I300"/>
    <mergeCell ref="G301:I301"/>
  </mergeCells>
  <phoneticPr fontId="4" type="noConversion"/>
  <pageMargins left="0.59055118110236227" right="0.39370078740157483" top="0.78740157480314965" bottom="0.59055118110236227" header="0.31496062992125984" footer="0.31496062992125984"/>
  <pageSetup paperSize="9" scale="57" fitToHeight="0" orientation="portrait" horizontalDpi="360" verticalDpi="360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6"/>
  <sheetViews>
    <sheetView workbookViewId="0">
      <selection activeCell="A256" sqref="A1:I256"/>
    </sheetView>
  </sheetViews>
  <sheetFormatPr defaultColWidth="9.140625" defaultRowHeight="15" x14ac:dyDescent="0.25"/>
  <cols>
    <col min="1" max="1" width="9.7109375" customWidth="1"/>
    <col min="2" max="2" width="11.7109375" style="52" customWidth="1"/>
    <col min="3" max="3" width="9.7109375" style="52" customWidth="1"/>
    <col min="4" max="4" width="58.5703125" customWidth="1"/>
    <col min="5" max="5" width="6.7109375" customWidth="1"/>
    <col min="6" max="6" width="10" customWidth="1"/>
    <col min="7" max="7" width="16.5703125" bestFit="1" customWidth="1"/>
    <col min="8" max="8" width="15.140625" bestFit="1" customWidth="1"/>
    <col min="9" max="9" width="15.85546875" customWidth="1"/>
  </cols>
  <sheetData>
    <row r="1" spans="1:10" x14ac:dyDescent="0.25">
      <c r="A1" s="355"/>
      <c r="B1" s="356"/>
      <c r="C1" s="356"/>
      <c r="D1" s="356"/>
      <c r="E1" s="356" t="s">
        <v>38</v>
      </c>
      <c r="F1" s="356"/>
      <c r="G1" s="248" t="s">
        <v>33</v>
      </c>
      <c r="H1" s="356" t="s">
        <v>24</v>
      </c>
      <c r="I1" s="357"/>
    </row>
    <row r="2" spans="1:10" ht="117" customHeight="1" thickBot="1" x14ac:dyDescent="0.3">
      <c r="A2" s="406" t="s">
        <v>53</v>
      </c>
      <c r="B2" s="407"/>
      <c r="C2" s="407"/>
      <c r="D2" s="407"/>
      <c r="E2" s="354" t="str">
        <f>'Planilha orçamentária'!E2</f>
        <v xml:space="preserve">SINAPI - 08/2019 - AL
ORSE - 07/2019 - SE
</v>
      </c>
      <c r="F2" s="354"/>
      <c r="G2" s="100">
        <f>'Planilha orçamentária'!F2</f>
        <v>0.27929999999999999</v>
      </c>
      <c r="H2" s="354" t="str">
        <f>'Planilha orçamentária'!H2:I2</f>
        <v>84,82% - Desonerada</v>
      </c>
      <c r="I2" s="408"/>
    </row>
    <row r="3" spans="1:10" ht="26.25" customHeight="1" thickBot="1" x14ac:dyDescent="0.3">
      <c r="A3" s="399" t="s">
        <v>56</v>
      </c>
      <c r="B3" s="400"/>
      <c r="C3" s="400"/>
      <c r="D3" s="400"/>
      <c r="E3" s="400"/>
      <c r="F3" s="400"/>
      <c r="G3" s="400"/>
      <c r="H3" s="400"/>
      <c r="I3" s="401"/>
    </row>
    <row r="4" spans="1:10" s="1" customFormat="1" ht="21.75" customHeight="1" x14ac:dyDescent="0.2">
      <c r="A4" s="28" t="s">
        <v>29</v>
      </c>
      <c r="B4" s="115" t="s">
        <v>19</v>
      </c>
      <c r="C4" s="115" t="s">
        <v>5</v>
      </c>
      <c r="D4" s="17" t="s">
        <v>13</v>
      </c>
      <c r="E4" s="17" t="s">
        <v>9</v>
      </c>
      <c r="F4" s="18" t="s">
        <v>26</v>
      </c>
      <c r="G4" s="381" t="s">
        <v>54</v>
      </c>
      <c r="H4" s="381"/>
      <c r="I4" s="382"/>
    </row>
    <row r="5" spans="1:10" s="3" customFormat="1" ht="12" x14ac:dyDescent="0.2">
      <c r="A5" s="142">
        <f>'Planilha orçamentária'!A7</f>
        <v>1</v>
      </c>
      <c r="B5" s="143"/>
      <c r="C5" s="143"/>
      <c r="D5" s="121" t="str">
        <f>'Planilha orçamentária'!D7</f>
        <v>SERVIÇOS PRELIMINARES</v>
      </c>
      <c r="E5" s="144"/>
      <c r="F5" s="145"/>
      <c r="G5" s="149"/>
      <c r="H5" s="149"/>
      <c r="I5" s="167"/>
    </row>
    <row r="6" spans="1:10" s="3" customFormat="1" ht="15" customHeight="1" x14ac:dyDescent="0.2">
      <c r="A6" s="146"/>
      <c r="B6" s="140"/>
      <c r="C6" s="140"/>
      <c r="D6" s="147"/>
      <c r="E6" s="147"/>
      <c r="F6" s="148"/>
      <c r="G6" s="5" t="s">
        <v>49</v>
      </c>
      <c r="H6" s="6" t="s">
        <v>50</v>
      </c>
      <c r="I6" s="259" t="s">
        <v>59</v>
      </c>
    </row>
    <row r="7" spans="1:10" s="3" customFormat="1" ht="15" customHeight="1" x14ac:dyDescent="0.2">
      <c r="A7" s="82" t="str">
        <f>'Planilha orçamentária'!A9</f>
        <v>1.1</v>
      </c>
      <c r="B7" s="29" t="str">
        <f>'Planilha orçamentária'!B9</f>
        <v>74209/001</v>
      </c>
      <c r="C7" s="29" t="str">
        <f>'Planilha orçamentária'!C9</f>
        <v>SINAPI</v>
      </c>
      <c r="D7" s="29" t="str">
        <f>'Planilha orçamentária'!D9</f>
        <v>PLACA DE OBRA EM CHAPA DE ACO GALVANIZADO</v>
      </c>
      <c r="E7" s="21" t="str">
        <f>'Planilha orçamentária'!E9</f>
        <v>m²</v>
      </c>
      <c r="F7" s="150">
        <v>4.5</v>
      </c>
      <c r="G7" s="187">
        <v>1.8</v>
      </c>
      <c r="H7" s="24">
        <v>2.5</v>
      </c>
      <c r="I7" s="94"/>
    </row>
    <row r="8" spans="1:10" s="3" customFormat="1" ht="22.5" x14ac:dyDescent="0.2">
      <c r="A8" s="82" t="str">
        <f>'Planilha orçamentária'!A10</f>
        <v>1.2</v>
      </c>
      <c r="B8" s="29" t="str">
        <f>'Planilha orçamentária'!B10</f>
        <v>73822/002</v>
      </c>
      <c r="C8" s="29" t="str">
        <f>'Planilha orçamentária'!C10</f>
        <v>SINAPI</v>
      </c>
      <c r="D8" s="29" t="str">
        <f>'Planilha orçamentária'!D10</f>
        <v>LIMPEZA MECANIZADA DE TERRENO COM REMOCAO DE CAMADA VEGETAL, UTILIZANDO MOTONIVELADORA</v>
      </c>
      <c r="E8" s="21" t="str">
        <f>'Planilha orçamentária'!E10</f>
        <v>m²</v>
      </c>
      <c r="F8" s="150">
        <f>I8</f>
        <v>3466.8</v>
      </c>
      <c r="G8" s="187"/>
      <c r="H8" s="24"/>
      <c r="I8" s="94">
        <v>3466.8</v>
      </c>
      <c r="J8" s="14"/>
    </row>
    <row r="9" spans="1:10" s="3" customFormat="1" ht="22.5" x14ac:dyDescent="0.2">
      <c r="A9" s="82" t="str">
        <f>'Planilha orçamentária'!A11</f>
        <v>1.3</v>
      </c>
      <c r="B9" s="29">
        <f>'Planilha orçamentária'!B11</f>
        <v>4177</v>
      </c>
      <c r="C9" s="29" t="str">
        <f>'Planilha orçamentária'!C11</f>
        <v>ORSE</v>
      </c>
      <c r="D9" s="29" t="str">
        <f>'Planilha orçamentária'!D11</f>
        <v>Locação de construção de edificação acima de 1000 m2, inclusive execução de gabarito de madeira</v>
      </c>
      <c r="E9" s="21" t="str">
        <f>'Planilha orçamentária'!E11</f>
        <v>m²</v>
      </c>
      <c r="F9" s="150">
        <f>I9</f>
        <v>3466.8</v>
      </c>
      <c r="G9" s="187"/>
      <c r="H9" s="24"/>
      <c r="I9" s="94">
        <v>3466.8</v>
      </c>
    </row>
    <row r="10" spans="1:10" s="3" customFormat="1" ht="22.5" customHeight="1" x14ac:dyDescent="0.2">
      <c r="A10" s="82" t="str">
        <f>'Planilha orçamentária'!A12</f>
        <v>1.4</v>
      </c>
      <c r="B10" s="29">
        <f>'Planilha orçamentária'!B12</f>
        <v>6096</v>
      </c>
      <c r="C10" s="29" t="str">
        <f>'Planilha orçamentária'!C12</f>
        <v>ORSE</v>
      </c>
      <c r="D10" s="29" t="str">
        <f>'Planilha orçamentária'!D12</f>
        <v>LIGAÇÃO PREDIAL DE ÁGUA EM MURETA DE CONCRETO, PROVISÓRIA OU DEFINITIVA, COM FORNECIMENTO DE MATERIAL, INCLUSIVE MURETA E HIDRÔMETRO, REDE DN 50MM</v>
      </c>
      <c r="E10" s="21" t="str">
        <f>'Planilha orçamentária'!E12</f>
        <v>un</v>
      </c>
      <c r="F10" s="150">
        <v>1</v>
      </c>
      <c r="G10" s="187"/>
      <c r="H10" s="24"/>
      <c r="I10" s="94"/>
    </row>
    <row r="11" spans="1:10" s="3" customFormat="1" ht="11.25" x14ac:dyDescent="0.2">
      <c r="A11" s="82" t="str">
        <f>'Planilha orçamentária'!A13</f>
        <v>1.5</v>
      </c>
      <c r="B11" s="29">
        <f>'Planilha orçamentária'!B13</f>
        <v>41598</v>
      </c>
      <c r="C11" s="29" t="str">
        <f>'Planilha orçamentária'!C13</f>
        <v>SINAPI</v>
      </c>
      <c r="D11" s="29" t="str">
        <f>'Planilha orçamentária'!D13</f>
        <v>ENTRADA PROVISORIA DE ENERGIA ELETRICA AEREA TRIFASICA 40A EM POSTE MADEIRA</v>
      </c>
      <c r="E11" s="21" t="str">
        <f>'Planilha orçamentária'!E13</f>
        <v>un</v>
      </c>
      <c r="F11" s="150">
        <v>1</v>
      </c>
      <c r="G11" s="187"/>
      <c r="H11" s="24"/>
      <c r="I11" s="94"/>
    </row>
    <row r="12" spans="1:10" s="3" customFormat="1" x14ac:dyDescent="0.2">
      <c r="A12" s="82"/>
      <c r="B12" s="29"/>
      <c r="C12" s="29"/>
      <c r="D12" s="29"/>
      <c r="E12" s="21"/>
      <c r="F12" s="150"/>
      <c r="G12" s="257"/>
      <c r="H12" s="258" t="s">
        <v>50</v>
      </c>
      <c r="I12" s="259" t="s">
        <v>51</v>
      </c>
    </row>
    <row r="13" spans="1:10" s="3" customFormat="1" ht="22.5" x14ac:dyDescent="0.2">
      <c r="A13" s="82" t="str">
        <f>'Planilha orçamentária'!A14</f>
        <v>1.6</v>
      </c>
      <c r="B13" s="29">
        <f>'Planilha orçamentária'!B14</f>
        <v>93582</v>
      </c>
      <c r="C13" s="29" t="str">
        <f>'Planilha orçamentária'!C14</f>
        <v>SINAPI</v>
      </c>
      <c r="D13" s="29" t="str">
        <f>'Planilha orçamentária'!D14</f>
        <v>EXECUÇÃO DE CENTRAL DE ARMADURA EM CANTEIRO DE OBRA, NÃO INCLUSO MOBILIÁRIO E EQUIPAMENTOS. AF_04/2016</v>
      </c>
      <c r="E13" s="21" t="str">
        <f>'Planilha orçamentária'!E14</f>
        <v>m²</v>
      </c>
      <c r="F13" s="150">
        <f>H13*I13</f>
        <v>18</v>
      </c>
      <c r="G13" s="187"/>
      <c r="H13" s="24">
        <v>6</v>
      </c>
      <c r="I13" s="94">
        <v>3</v>
      </c>
    </row>
    <row r="14" spans="1:10" s="3" customFormat="1" ht="22.5" x14ac:dyDescent="0.2">
      <c r="A14" s="82" t="str">
        <f>'Planilha orçamentária'!A15</f>
        <v>1.7</v>
      </c>
      <c r="B14" s="29">
        <f>'Planilha orçamentária'!B15</f>
        <v>93207</v>
      </c>
      <c r="C14" s="29" t="str">
        <f>'Planilha orçamentária'!C15</f>
        <v>SINAPI</v>
      </c>
      <c r="D14" s="29" t="str">
        <f>'Planilha orçamentária'!D15</f>
        <v>EXECUÇÃO DE ESCRITÓRIO EM CANTEIRO DE OBRA EM CHAPA DE MADEIRA COMPENSADA, NÃO INCLUSO MOBILIÁRIO E EQUIPAMENTOS. AF_02/2016</v>
      </c>
      <c r="E14" s="21" t="str">
        <f>'Planilha orçamentária'!E15</f>
        <v>m²</v>
      </c>
      <c r="F14" s="150">
        <f>H14*I14</f>
        <v>9</v>
      </c>
      <c r="G14" s="187"/>
      <c r="H14" s="24">
        <v>3</v>
      </c>
      <c r="I14" s="94">
        <v>3</v>
      </c>
      <c r="J14" s="14"/>
    </row>
    <row r="15" spans="1:10" s="125" customFormat="1" ht="12" x14ac:dyDescent="0.2">
      <c r="A15" s="168">
        <f>'Planilha orçamentária'!A16</f>
        <v>2</v>
      </c>
      <c r="B15" s="122"/>
      <c r="C15" s="122"/>
      <c r="D15" s="121" t="str">
        <f>'Planilha orçamentária'!D16</f>
        <v>CAMPO DE FUTEBOL</v>
      </c>
      <c r="E15" s="121"/>
      <c r="F15" s="124"/>
      <c r="G15" s="123"/>
      <c r="H15" s="123"/>
      <c r="I15" s="169"/>
    </row>
    <row r="16" spans="1:10" s="3" customFormat="1" ht="15" customHeight="1" x14ac:dyDescent="0.2">
      <c r="A16" s="92" t="str">
        <f>'Planilha orçamentária'!A17</f>
        <v>2.1</v>
      </c>
      <c r="B16" s="113"/>
      <c r="C16" s="113"/>
      <c r="D16" s="19" t="s">
        <v>40</v>
      </c>
      <c r="E16" s="19"/>
      <c r="F16" s="20"/>
      <c r="G16" s="257" t="s">
        <v>49</v>
      </c>
      <c r="H16" s="258" t="s">
        <v>52</v>
      </c>
      <c r="I16" s="259" t="s">
        <v>59</v>
      </c>
    </row>
    <row r="17" spans="1:10" s="3" customFormat="1" ht="11.25" x14ac:dyDescent="0.2">
      <c r="A17" s="88" t="str">
        <f>'Planilha orçamentária'!A18</f>
        <v>2.1.1</v>
      </c>
      <c r="B17" s="29">
        <f>'Planilha orçamentária'!B18</f>
        <v>79472</v>
      </c>
      <c r="C17" s="29" t="str">
        <f>'Planilha orçamentária'!C18</f>
        <v>SINAPI</v>
      </c>
      <c r="D17" s="29" t="str">
        <f>'Planilha orçamentária'!D18</f>
        <v>REGULARIZACAO DE SUPERFICIES EM TERRA COM MOTONIVELADORA</v>
      </c>
      <c r="E17" s="29" t="str">
        <f>'Planilha orçamentária'!E18</f>
        <v>m²</v>
      </c>
      <c r="F17" s="255">
        <f>I17</f>
        <v>664.29</v>
      </c>
      <c r="G17" s="60"/>
      <c r="H17" s="24"/>
      <c r="I17" s="94">
        <v>664.29</v>
      </c>
    </row>
    <row r="18" spans="1:10" s="3" customFormat="1" ht="15" customHeight="1" x14ac:dyDescent="0.2">
      <c r="A18" s="92" t="str">
        <f>'Planilha orçamentária'!A19</f>
        <v>2.2</v>
      </c>
      <c r="B18" s="113"/>
      <c r="C18" s="113"/>
      <c r="D18" s="19" t="s">
        <v>177</v>
      </c>
      <c r="E18" s="19"/>
      <c r="F18" s="19"/>
      <c r="G18" s="257" t="s">
        <v>49</v>
      </c>
      <c r="H18" s="258" t="s">
        <v>50</v>
      </c>
      <c r="I18" s="259" t="s">
        <v>52</v>
      </c>
      <c r="J18" s="14"/>
    </row>
    <row r="19" spans="1:10" s="3" customFormat="1" ht="22.5" x14ac:dyDescent="0.2">
      <c r="A19" s="88" t="str">
        <f>'Planilha orçamentária'!A20</f>
        <v>2.2.1</v>
      </c>
      <c r="B19" s="29">
        <f>'Planilha orçamentária'!B20</f>
        <v>93358</v>
      </c>
      <c r="C19" s="29" t="str">
        <f>'Planilha orçamentária'!C20</f>
        <v>SINAPI</v>
      </c>
      <c r="D19" s="29" t="str">
        <f>'Planilha orçamentária'!D20</f>
        <v>ESCAVAÇÃO MANUAL DE VALA COM PROFUNDIDADE MENOR OU IGUAL A 1,30 M. AF_03/2016</v>
      </c>
      <c r="E19" s="29" t="str">
        <f>'Planilha orçamentária'!E20</f>
        <v>m³</v>
      </c>
      <c r="F19" s="186">
        <f>G19*H19*I19</f>
        <v>47.032499999999999</v>
      </c>
      <c r="G19" s="186">
        <v>0.5</v>
      </c>
      <c r="H19" s="156">
        <v>0.5</v>
      </c>
      <c r="I19" s="170">
        <f>34.57+(2*(2.83+11.31+9.3+2.42)+8*(12.73))</f>
        <v>188.13</v>
      </c>
    </row>
    <row r="20" spans="1:10" s="3" customFormat="1" ht="11.25" x14ac:dyDescent="0.2">
      <c r="A20" s="88" t="str">
        <f>'Planilha orçamentária'!A21</f>
        <v>2.2.2</v>
      </c>
      <c r="B20" s="29">
        <f>'Planilha orçamentária'!B21</f>
        <v>83665</v>
      </c>
      <c r="C20" s="29" t="str">
        <f>'Planilha orçamentária'!C21</f>
        <v>SINAPI</v>
      </c>
      <c r="D20" s="29" t="str">
        <f>'Planilha orçamentária'!D21</f>
        <v>FORNECIMENTO E INSTALACAO DE MANTA BIDIM RT - 14</v>
      </c>
      <c r="E20" s="29" t="str">
        <f>'Planilha orçamentária'!E21</f>
        <v>m²</v>
      </c>
      <c r="F20" s="157">
        <f>I20*2*(G20+H20)</f>
        <v>376.26</v>
      </c>
      <c r="G20" s="187">
        <v>0.5</v>
      </c>
      <c r="H20" s="24">
        <v>0.5</v>
      </c>
      <c r="I20" s="94">
        <f>I19</f>
        <v>188.13</v>
      </c>
    </row>
    <row r="21" spans="1:10" s="3" customFormat="1" ht="11.25" x14ac:dyDescent="0.2">
      <c r="A21" s="88" t="str">
        <f>'Planilha orçamentária'!A22</f>
        <v>2.2.3</v>
      </c>
      <c r="B21" s="29">
        <f>'Planilha orçamentária'!B22</f>
        <v>83668</v>
      </c>
      <c r="C21" s="29" t="str">
        <f>'Planilha orçamentária'!C22</f>
        <v>SINAPI</v>
      </c>
      <c r="D21" s="29" t="str">
        <f>'Planilha orçamentária'!D22</f>
        <v>CAMADA DRENANTE COM BRITA NUM 2</v>
      </c>
      <c r="E21" s="29" t="str">
        <f>'Planilha orçamentária'!E22</f>
        <v>m³</v>
      </c>
      <c r="F21" s="159">
        <f>G21*H21*I21</f>
        <v>47.032499999999999</v>
      </c>
      <c r="G21" s="187">
        <v>0.5</v>
      </c>
      <c r="H21" s="24">
        <v>0.5</v>
      </c>
      <c r="I21" s="94">
        <f t="shared" ref="I21:I22" si="0">I20</f>
        <v>188.13</v>
      </c>
    </row>
    <row r="22" spans="1:10" s="3" customFormat="1" ht="11.25" x14ac:dyDescent="0.2">
      <c r="A22" s="88" t="str">
        <f>'Planilha orçamentária'!A23</f>
        <v>2.2.4</v>
      </c>
      <c r="B22" s="29">
        <f>'Planilha orçamentária'!B23</f>
        <v>2</v>
      </c>
      <c r="C22" s="29" t="str">
        <f>'Planilha orçamentária'!C23</f>
        <v>COMP</v>
      </c>
      <c r="D22" s="29" t="str">
        <f>'Planilha orçamentária'!D23</f>
        <v>EXECUCAO DE DRENOS EM TUBOS DRENANTES, PVC, DIAM=100 MM</v>
      </c>
      <c r="E22" s="29" t="str">
        <f>'Planilha orçamentária'!E23</f>
        <v>m</v>
      </c>
      <c r="F22" s="159">
        <f>I22</f>
        <v>188.13</v>
      </c>
      <c r="G22" s="187"/>
      <c r="H22" s="24"/>
      <c r="I22" s="94">
        <f t="shared" si="0"/>
        <v>188.13</v>
      </c>
    </row>
    <row r="23" spans="1:10" s="3" customFormat="1" ht="11.25" x14ac:dyDescent="0.2">
      <c r="A23" s="88" t="str">
        <f>'Planilha orçamentária'!A24</f>
        <v>2.2.5</v>
      </c>
      <c r="B23" s="29">
        <f>'Planilha orçamentária'!B24</f>
        <v>4</v>
      </c>
      <c r="C23" s="29" t="str">
        <f>'Planilha orçamentária'!C24</f>
        <v>COMP</v>
      </c>
      <c r="D23" s="29" t="str">
        <f>'Planilha orçamentária'!D24</f>
        <v>CAIXA DE AREIA 40X40X40CM EM ALVENARIA - EXECUÇÃO</v>
      </c>
      <c r="E23" s="29" t="str">
        <f>'Planilha orçamentária'!E24</f>
        <v>un</v>
      </c>
      <c r="F23" s="266">
        <v>2</v>
      </c>
      <c r="G23" s="266"/>
      <c r="H23" s="27"/>
      <c r="I23" s="95"/>
    </row>
    <row r="24" spans="1:10" s="3" customFormat="1" x14ac:dyDescent="0.2">
      <c r="A24" s="92" t="str">
        <f>'Planilha orçamentária'!A25</f>
        <v>2.3</v>
      </c>
      <c r="B24" s="113"/>
      <c r="C24" s="113"/>
      <c r="D24" s="19" t="s">
        <v>91</v>
      </c>
      <c r="E24" s="19"/>
      <c r="F24" s="20"/>
      <c r="G24" s="257"/>
      <c r="H24" s="258"/>
      <c r="I24" s="259" t="s">
        <v>59</v>
      </c>
      <c r="J24" s="14"/>
    </row>
    <row r="25" spans="1:10" s="3" customFormat="1" ht="11.25" x14ac:dyDescent="0.2">
      <c r="A25" s="82" t="str">
        <f>'Planilha orçamentária'!A26</f>
        <v>2.3.1</v>
      </c>
      <c r="B25" s="29">
        <f>'Planilha orçamentária'!B26</f>
        <v>98504</v>
      </c>
      <c r="C25" s="29" t="str">
        <f>'Planilha orçamentária'!C26</f>
        <v>SINAPI</v>
      </c>
      <c r="D25" s="35" t="s">
        <v>96</v>
      </c>
      <c r="E25" s="21" t="str">
        <f>'Planilha orçamentária'!E26</f>
        <v>m²</v>
      </c>
      <c r="F25" s="160">
        <f>I25</f>
        <v>648</v>
      </c>
      <c r="G25" s="171"/>
      <c r="H25" s="171"/>
      <c r="I25" s="172">
        <v>648</v>
      </c>
      <c r="J25" s="75"/>
    </row>
    <row r="26" spans="1:10" s="3" customFormat="1" ht="22.5" customHeight="1" x14ac:dyDescent="0.2">
      <c r="A26" s="82" t="str">
        <f>'Planilha orçamentária'!A27</f>
        <v>2.3.2</v>
      </c>
      <c r="B26" s="29">
        <f>'Planilha orçamentária'!B27</f>
        <v>3</v>
      </c>
      <c r="C26" s="29" t="str">
        <f>'Planilha orçamentária'!C27</f>
        <v>COMP</v>
      </c>
      <c r="D26" s="21" t="s">
        <v>97</v>
      </c>
      <c r="E26" s="21" t="str">
        <f>'Planilha orçamentária'!E27</f>
        <v>m²</v>
      </c>
      <c r="F26" s="160">
        <f>I26</f>
        <v>648</v>
      </c>
      <c r="G26" s="187"/>
      <c r="H26" s="24"/>
      <c r="I26" s="94">
        <v>648</v>
      </c>
      <c r="J26" s="75"/>
    </row>
    <row r="27" spans="1:10" s="3" customFormat="1" x14ac:dyDescent="0.2">
      <c r="A27" s="151" t="str">
        <f>'Planilha orçamentária'!A28</f>
        <v>2.4</v>
      </c>
      <c r="B27" s="152"/>
      <c r="C27" s="152"/>
      <c r="D27" s="153" t="s">
        <v>100</v>
      </c>
      <c r="E27" s="153"/>
      <c r="F27" s="154"/>
      <c r="G27" s="257" t="s">
        <v>49</v>
      </c>
      <c r="H27" s="258" t="s">
        <v>50</v>
      </c>
      <c r="I27" s="259" t="s">
        <v>102</v>
      </c>
      <c r="J27" s="14"/>
    </row>
    <row r="28" spans="1:10" s="3" customFormat="1" ht="33.75" x14ac:dyDescent="0.2">
      <c r="A28" s="82" t="str">
        <f>'Planilha orçamentária'!A29</f>
        <v>2.4.1</v>
      </c>
      <c r="B28" s="29">
        <f>'Planilha orçamentária'!B29</f>
        <v>1</v>
      </c>
      <c r="C28" s="29" t="str">
        <f>'Planilha orçamentária'!C29</f>
        <v>COMP</v>
      </c>
      <c r="D28" s="21" t="s">
        <v>98</v>
      </c>
      <c r="E28" s="21" t="str">
        <f>'Planilha orçamentária'!E29</f>
        <v>m²</v>
      </c>
      <c r="F28" s="158">
        <f>G28*I28+G29*I29</f>
        <v>389.87999999999994</v>
      </c>
      <c r="G28" s="317">
        <v>2.8</v>
      </c>
      <c r="H28" s="163"/>
      <c r="I28" s="174">
        <v>108.3</v>
      </c>
      <c r="J28" s="75"/>
    </row>
    <row r="29" spans="1:10" s="3" customFormat="1" ht="11.25" x14ac:dyDescent="0.2">
      <c r="A29" s="82"/>
      <c r="B29" s="29"/>
      <c r="C29" s="29"/>
      <c r="D29" s="155"/>
      <c r="E29" s="21"/>
      <c r="F29" s="161"/>
      <c r="G29" s="317">
        <v>0.8</v>
      </c>
      <c r="H29" s="163"/>
      <c r="I29" s="174">
        <v>108.3</v>
      </c>
      <c r="J29" s="75"/>
    </row>
    <row r="30" spans="1:10" s="3" customFormat="1" ht="11.25" x14ac:dyDescent="0.2">
      <c r="A30" s="82" t="str">
        <f>'Planilha orçamentária'!A30</f>
        <v>2.4.2</v>
      </c>
      <c r="B30" s="29">
        <f>'Planilha orçamentária'!B30</f>
        <v>10069</v>
      </c>
      <c r="C30" s="29" t="str">
        <f>'Planilha orçamentária'!C30</f>
        <v>ORSE</v>
      </c>
      <c r="D30" s="155" t="s">
        <v>99</v>
      </c>
      <c r="E30" s="21" t="str">
        <f>'Planilha orçamentária'!E30</f>
        <v>par</v>
      </c>
      <c r="F30" s="161">
        <v>1</v>
      </c>
      <c r="G30" s="187"/>
      <c r="H30" s="24"/>
      <c r="I30" s="94"/>
      <c r="J30" s="75"/>
    </row>
    <row r="31" spans="1:10" s="3" customFormat="1" ht="11.25" x14ac:dyDescent="0.2">
      <c r="A31" s="82" t="str">
        <f>'Planilha orçamentária'!A31</f>
        <v>2.4.3</v>
      </c>
      <c r="B31" s="29">
        <f>'Planilha orçamentária'!B31</f>
        <v>10000</v>
      </c>
      <c r="C31" s="29" t="str">
        <f>'Planilha orçamentária'!C31</f>
        <v>ORSE</v>
      </c>
      <c r="D31" s="155" t="s">
        <v>103</v>
      </c>
      <c r="E31" s="21" t="str">
        <f>'Planilha orçamentária'!E31</f>
        <v>m²</v>
      </c>
      <c r="F31" s="158">
        <f>G31*H31</f>
        <v>2.2050000000000001</v>
      </c>
      <c r="G31" s="187">
        <v>2.25</v>
      </c>
      <c r="H31" s="24">
        <v>0.98</v>
      </c>
      <c r="I31" s="94"/>
      <c r="J31" s="75"/>
    </row>
    <row r="32" spans="1:10" s="141" customFormat="1" ht="11.25" x14ac:dyDescent="0.2">
      <c r="A32" s="126">
        <f>'Planilha orçamentária'!A32</f>
        <v>3</v>
      </c>
      <c r="B32" s="127"/>
      <c r="C32" s="127"/>
      <c r="D32" s="127" t="str">
        <f>'Planilha orçamentária'!D32</f>
        <v>QUADRA DE VOLEI</v>
      </c>
      <c r="E32" s="127"/>
      <c r="F32" s="128"/>
      <c r="G32" s="129"/>
      <c r="H32" s="130"/>
      <c r="I32" s="131"/>
    </row>
    <row r="33" spans="1:14" s="3" customFormat="1" x14ac:dyDescent="0.2">
      <c r="A33" s="92" t="str">
        <f>'Planilha orçamentária'!A33</f>
        <v>3.1</v>
      </c>
      <c r="B33" s="113"/>
      <c r="C33" s="113"/>
      <c r="D33" s="19" t="s">
        <v>40</v>
      </c>
      <c r="E33" s="19"/>
      <c r="F33" s="20"/>
      <c r="G33" s="257" t="s">
        <v>109</v>
      </c>
      <c r="H33" s="258" t="s">
        <v>52</v>
      </c>
      <c r="I33" s="259" t="s">
        <v>59</v>
      </c>
    </row>
    <row r="34" spans="1:14" s="3" customFormat="1" ht="12" customHeight="1" x14ac:dyDescent="0.2">
      <c r="A34" s="173" t="str">
        <f>'Planilha orçamentária'!A34</f>
        <v>3.1.1</v>
      </c>
      <c r="B34" s="162">
        <f>'Planilha orçamentária'!B34</f>
        <v>83338</v>
      </c>
      <c r="C34" s="162" t="str">
        <f>'Planilha orçamentária'!C34</f>
        <v>SINAPI</v>
      </c>
      <c r="D34" s="162" t="str">
        <f>'Planilha orçamentária'!D34</f>
        <v>ESCAVACAO MECANICA, A CEU ABERTO, EM MATERIAL DE 1A CATEGORIA, COM ESCAVADEIRA HIDRAULICA, CAPACIDADE DE 0,78 M3</v>
      </c>
      <c r="E34" s="53" t="str">
        <f>'Planilha orçamentária'!E34</f>
        <v>m³</v>
      </c>
      <c r="F34" s="160">
        <f>I34*G34</f>
        <v>46.782000000000004</v>
      </c>
      <c r="G34" s="187">
        <v>0.2</v>
      </c>
      <c r="H34" s="178"/>
      <c r="I34" s="94">
        <v>233.91</v>
      </c>
    </row>
    <row r="35" spans="1:14" s="3" customFormat="1" ht="11.25" x14ac:dyDescent="0.2">
      <c r="A35" s="173" t="str">
        <f>'Planilha orçamentária'!A35</f>
        <v>3.1.2</v>
      </c>
      <c r="B35" s="162">
        <f>'Planilha orçamentária'!B35</f>
        <v>366</v>
      </c>
      <c r="C35" s="162" t="str">
        <f>'Planilha orçamentária'!C35</f>
        <v>SINAPI</v>
      </c>
      <c r="D35" s="162" t="str">
        <f>'Planilha orçamentária'!D35</f>
        <v>AREIA FINA - POSTO JAZIDA/FORNECEDOR (RETIRADO NA JAZIDA, SEM TRANSPORTE)</v>
      </c>
      <c r="E35" s="53" t="str">
        <f>'Planilha orçamentária'!E35</f>
        <v>m³</v>
      </c>
      <c r="F35" s="160">
        <f>I35*G35</f>
        <v>46.782000000000004</v>
      </c>
      <c r="G35" s="187">
        <v>0.2</v>
      </c>
      <c r="H35" s="24"/>
      <c r="I35" s="94">
        <v>233.91</v>
      </c>
      <c r="J35" s="14"/>
    </row>
    <row r="36" spans="1:14" s="3" customFormat="1" x14ac:dyDescent="0.2">
      <c r="A36" s="224" t="str">
        <f>'Planilha orçamentária'!A36</f>
        <v>3.2</v>
      </c>
      <c r="B36" s="179"/>
      <c r="C36" s="179"/>
      <c r="D36" s="180" t="s">
        <v>100</v>
      </c>
      <c r="E36" s="180"/>
      <c r="F36" s="181"/>
      <c r="G36" s="257" t="s">
        <v>49</v>
      </c>
      <c r="H36" s="258" t="s">
        <v>50</v>
      </c>
      <c r="I36" s="259" t="s">
        <v>102</v>
      </c>
      <c r="J36" s="14"/>
    </row>
    <row r="37" spans="1:14" s="3" customFormat="1" ht="33.75" x14ac:dyDescent="0.2">
      <c r="A37" s="175" t="str">
        <f>'Planilha orçamentária'!A37</f>
        <v>3.2.1</v>
      </c>
      <c r="B37" s="252">
        <f>'Planilha orçamentária'!B37</f>
        <v>1</v>
      </c>
      <c r="C37" s="202" t="str">
        <f>'Planilha orçamentária'!C37</f>
        <v>COMP</v>
      </c>
      <c r="D37" s="252" t="str">
        <f>'Planilha orçamentária'!D37</f>
        <v>ALAMBRADO PARA QUADRA POLIESPORTIVA, ESTRUTURADO POR TUBOS DE ACO GALVANIZADO, COM COSTURA, DIN 2440, DIAMETRO 2", COM TELA DE ARAME GALVANIZADO, FIO 14 BWG E MALHA QUADRADA 5X5CM</v>
      </c>
      <c r="E37" s="165" t="str">
        <f>'Planilha orçamentária'!E37</f>
        <v>m²</v>
      </c>
      <c r="F37" s="160">
        <v>132.1</v>
      </c>
      <c r="G37" s="403" t="s">
        <v>211</v>
      </c>
      <c r="H37" s="404"/>
      <c r="I37" s="405"/>
      <c r="J37" s="75"/>
    </row>
    <row r="38" spans="1:14" s="3" customFormat="1" ht="11.25" x14ac:dyDescent="0.2">
      <c r="A38" s="21" t="str">
        <f>'Planilha orçamentária'!A38</f>
        <v>3.2.2</v>
      </c>
      <c r="B38" s="29">
        <f>'Planilha orçamentária'!B38</f>
        <v>2429</v>
      </c>
      <c r="C38" s="29" t="str">
        <f>'Planilha orçamentária'!C38</f>
        <v>ORSE</v>
      </c>
      <c r="D38" s="29" t="str">
        <f>'Planilha orçamentária'!D38</f>
        <v xml:space="preserve">	Rede para volei profissional, em nylon e com medidor de altura</v>
      </c>
      <c r="E38" s="21" t="str">
        <f>'Planilha orçamentária'!E38</f>
        <v>un</v>
      </c>
      <c r="F38" s="158">
        <v>1</v>
      </c>
      <c r="G38" s="187"/>
      <c r="H38" s="24"/>
      <c r="I38" s="94"/>
      <c r="J38" s="75"/>
    </row>
    <row r="39" spans="1:14" s="3" customFormat="1" ht="11.25" x14ac:dyDescent="0.2">
      <c r="A39" s="225">
        <f>'Planilha orçamentária'!A39</f>
        <v>0</v>
      </c>
      <c r="B39" s="254">
        <f>'Planilha orçamentária'!B39</f>
        <v>1877</v>
      </c>
      <c r="C39" s="254" t="str">
        <f>'Planilha orçamentária'!C39</f>
        <v>ORSE</v>
      </c>
      <c r="D39" s="254" t="str">
        <f>'Planilha orçamentária'!D39</f>
        <v>Poste oficial para volei em aço galvanizado d=3", c/esticador e catraca (cod.3008)</v>
      </c>
      <c r="E39" s="155" t="str">
        <f>'Planilha orçamentária'!E39</f>
        <v>par</v>
      </c>
      <c r="F39" s="161">
        <v>2</v>
      </c>
      <c r="G39" s="187"/>
      <c r="H39" s="24"/>
      <c r="I39" s="94"/>
      <c r="J39" s="75"/>
    </row>
    <row r="40" spans="1:14" s="3" customFormat="1" ht="22.5" x14ac:dyDescent="0.2">
      <c r="A40" s="82" t="str">
        <f>'Planilha orçamentária'!A40</f>
        <v>3.2.3</v>
      </c>
      <c r="B40" s="29">
        <f>'Planilha orçamentária'!B40</f>
        <v>10000</v>
      </c>
      <c r="C40" s="29" t="str">
        <f>'Planilha orçamentária'!C40</f>
        <v>ORSE</v>
      </c>
      <c r="D40" s="29" t="str">
        <f>'Planilha orçamentária'!D40</f>
        <v xml:space="preserve">	Portão em tubo ferro galvanizado, com quadro ø= 2" e tela de aço galvanizado, fio 12 bwg , malha 2"</v>
      </c>
      <c r="E40" s="21" t="str">
        <f>'Planilha orçamentária'!E40</f>
        <v>m²</v>
      </c>
      <c r="F40" s="158">
        <f>G40*H40</f>
        <v>2.1069999999999998</v>
      </c>
      <c r="G40" s="187">
        <v>2.15</v>
      </c>
      <c r="H40" s="24">
        <v>0.98</v>
      </c>
      <c r="I40" s="94"/>
      <c r="J40" s="75"/>
    </row>
    <row r="41" spans="1:14" s="141" customFormat="1" ht="11.25" x14ac:dyDescent="0.2">
      <c r="A41" s="126">
        <f>'Planilha orçamentária'!A41</f>
        <v>4</v>
      </c>
      <c r="B41" s="127"/>
      <c r="C41" s="127"/>
      <c r="D41" s="127" t="str">
        <f>'Planilha orçamentária'!D41</f>
        <v>PISCINA E ARQUIBANCADAS</v>
      </c>
      <c r="E41" s="127"/>
      <c r="F41" s="128"/>
      <c r="G41" s="129"/>
      <c r="H41" s="130"/>
      <c r="I41" s="131"/>
      <c r="J41" s="132"/>
    </row>
    <row r="42" spans="1:14" s="3" customFormat="1" x14ac:dyDescent="0.2">
      <c r="A42" s="92" t="str">
        <f>'Planilha orçamentária'!A42</f>
        <v>4.1</v>
      </c>
      <c r="B42" s="113"/>
      <c r="C42" s="113"/>
      <c r="D42" s="19" t="s">
        <v>40</v>
      </c>
      <c r="E42" s="19"/>
      <c r="F42" s="20"/>
      <c r="G42" s="257" t="s">
        <v>109</v>
      </c>
      <c r="H42" s="258" t="s">
        <v>52</v>
      </c>
      <c r="I42" s="259" t="s">
        <v>59</v>
      </c>
      <c r="J42" s="14"/>
    </row>
    <row r="43" spans="1:14" s="3" customFormat="1" ht="11.25" x14ac:dyDescent="0.2">
      <c r="A43" s="249"/>
      <c r="B43" s="252"/>
      <c r="C43" s="252"/>
      <c r="D43" s="252"/>
      <c r="E43" s="35"/>
      <c r="F43" s="255"/>
      <c r="G43" s="402" t="s">
        <v>86</v>
      </c>
      <c r="H43" s="364"/>
      <c r="I43" s="365"/>
      <c r="J43" s="14"/>
    </row>
    <row r="44" spans="1:14" s="3" customFormat="1" ht="12" customHeight="1" x14ac:dyDescent="0.2">
      <c r="A44" s="173" t="str">
        <f>'Planilha orçamentária'!A43</f>
        <v>4.1.1</v>
      </c>
      <c r="B44" s="162">
        <f>'Planilha orçamentária'!B43</f>
        <v>83338</v>
      </c>
      <c r="C44" s="162" t="str">
        <f>'Planilha orçamentária'!C43</f>
        <v>SINAPI</v>
      </c>
      <c r="D44" s="162" t="str">
        <f>'Planilha orçamentária'!D43</f>
        <v>ESCAVACAO MECANICA, A CEU ABERTO, EM MATERIAL DE 1A CATEGORIA, COM ESCAVADEIRA HIDRAULICA, CAPACIDADE DE 0,78 M3</v>
      </c>
      <c r="E44" s="53" t="str">
        <f>'Planilha orçamentária'!E43</f>
        <v>m³</v>
      </c>
      <c r="F44" s="177">
        <f>G44*I44</f>
        <v>90</v>
      </c>
      <c r="G44" s="187">
        <v>0.2</v>
      </c>
      <c r="H44" s="178"/>
      <c r="I44" s="94">
        <v>450</v>
      </c>
    </row>
    <row r="45" spans="1:14" s="3" customFormat="1" ht="15" customHeight="1" x14ac:dyDescent="0.2">
      <c r="A45" s="92" t="str">
        <f>'Planilha orçamentária'!A44</f>
        <v>4.2</v>
      </c>
      <c r="B45" s="113"/>
      <c r="C45" s="113"/>
      <c r="D45" s="19" t="s">
        <v>31</v>
      </c>
      <c r="E45" s="19"/>
      <c r="F45" s="20"/>
      <c r="G45" s="372" t="s">
        <v>114</v>
      </c>
      <c r="H45" s="373"/>
      <c r="I45" s="374"/>
    </row>
    <row r="46" spans="1:14" s="3" customFormat="1" ht="33.75" x14ac:dyDescent="0.2">
      <c r="A46" s="88" t="str">
        <f>'Planilha orçamentária'!A45</f>
        <v>4.2.1</v>
      </c>
      <c r="B46" s="29">
        <f>'Planilha orçamentária'!B45</f>
        <v>34493</v>
      </c>
      <c r="C46" s="29" t="str">
        <f>'Planilha orçamentária'!C45</f>
        <v>SINAPI</v>
      </c>
      <c r="D46" s="29" t="str">
        <f>'Planilha orçamentária'!D45</f>
        <v>CONCRETO USINADO BOMBEAVEL, CLASSE DE RESISTENCIA C25, COM BRITA 0 E 1, SLUMP = 
100 +/- 20 MM, EXCLUI SERVICO DE BOMBEAMENTO (NBR 8953)</v>
      </c>
      <c r="E46" s="29" t="str">
        <f>'Planilha orçamentária'!E45</f>
        <v>m³</v>
      </c>
      <c r="F46" s="255">
        <v>326.32</v>
      </c>
      <c r="G46" s="378"/>
      <c r="H46" s="379"/>
      <c r="I46" s="380"/>
      <c r="K46" s="319"/>
      <c r="L46" s="319"/>
      <c r="M46" s="319"/>
      <c r="N46" s="321"/>
    </row>
    <row r="47" spans="1:14" s="3" customFormat="1" ht="22.5" x14ac:dyDescent="0.2">
      <c r="A47" s="88" t="str">
        <f>'Planilha orçamentária'!A46</f>
        <v>4.2.2</v>
      </c>
      <c r="B47" s="29">
        <f>'Planilha orçamentária'!B46</f>
        <v>92874</v>
      </c>
      <c r="C47" s="29" t="str">
        <f>'Planilha orçamentária'!C46</f>
        <v>SINAPI</v>
      </c>
      <c r="D47" s="29" t="str">
        <f>'Planilha orçamentária'!D46</f>
        <v>LANÇAMENTO COM USO DE BOMBA, ADENSAMENTO E ACABAMENTO DE CONCRETO EM ESTRUTURAS. AF_12/2015</v>
      </c>
      <c r="E47" s="29" t="str">
        <f>'Planilha orçamentária'!E46</f>
        <v>m³</v>
      </c>
      <c r="F47" s="255">
        <v>326.32</v>
      </c>
      <c r="G47" s="378"/>
      <c r="H47" s="379"/>
      <c r="I47" s="380"/>
    </row>
    <row r="48" spans="1:14" s="3" customFormat="1" ht="22.5" x14ac:dyDescent="0.2">
      <c r="A48" s="88" t="str">
        <f>'Planilha orçamentária'!A47</f>
        <v>4.2.3</v>
      </c>
      <c r="B48" s="29">
        <f>'Planilha orçamentária'!B47</f>
        <v>11640</v>
      </c>
      <c r="C48" s="29" t="str">
        <f>'Planilha orçamentária'!C47</f>
        <v>ORSE</v>
      </c>
      <c r="D48" s="29" t="str">
        <f>'Planilha orçamentária'!D47</f>
        <v>Forma plana para estruturas, em compensado plastificado de 10mm, 02 usos, inclusive escoramento - Revisada 07.2015</v>
      </c>
      <c r="E48" s="29" t="str">
        <f>'Planilha orçamentária'!E47</f>
        <v>m²</v>
      </c>
      <c r="F48" s="255">
        <f>937.88/2</f>
        <v>468.94</v>
      </c>
      <c r="G48" s="378"/>
      <c r="H48" s="379"/>
      <c r="I48" s="380"/>
    </row>
    <row r="49" spans="1:10" s="3" customFormat="1" ht="11.25" x14ac:dyDescent="0.2">
      <c r="A49" s="88" t="str">
        <f>'Planilha orçamentária'!A48</f>
        <v>4.2.4</v>
      </c>
      <c r="B49" s="29">
        <f>'Planilha orçamentária'!B48</f>
        <v>6</v>
      </c>
      <c r="C49" s="29" t="str">
        <f>'Planilha orçamentária'!C48</f>
        <v>COMP</v>
      </c>
      <c r="D49" s="29" t="str">
        <f>'Planilha orçamentária'!D48</f>
        <v>ARMAÇÃO UTILIZANDO AÇO CA-50 DE 12,5 MM - MONTAGEM. AF_12/2015</v>
      </c>
      <c r="E49" s="29" t="str">
        <f>'Planilha orçamentária'!E48</f>
        <v>KG</v>
      </c>
      <c r="F49" s="255">
        <v>1034</v>
      </c>
      <c r="G49" s="378"/>
      <c r="H49" s="379"/>
      <c r="I49" s="380"/>
    </row>
    <row r="50" spans="1:10" s="3" customFormat="1" ht="11.25" x14ac:dyDescent="0.2">
      <c r="A50" s="88" t="str">
        <f>'Planilha orçamentária'!A49</f>
        <v>4.2.5</v>
      </c>
      <c r="B50" s="29">
        <f>'Planilha orçamentária'!B49</f>
        <v>7</v>
      </c>
      <c r="C50" s="29" t="str">
        <f>'Planilha orçamentária'!C49</f>
        <v>COMP</v>
      </c>
      <c r="D50" s="29" t="str">
        <f>'Planilha orçamentária'!D49</f>
        <v>ARMAÇÃO UTILIZANDO AÇO CA-50 DE 6,3 A 10 MM - MONTAGEM. AF_12/2015</v>
      </c>
      <c r="E50" s="29" t="str">
        <f>'Planilha orçamentária'!E49</f>
        <v>KG</v>
      </c>
      <c r="F50" s="255">
        <v>10200</v>
      </c>
      <c r="G50" s="375"/>
      <c r="H50" s="376"/>
      <c r="I50" s="377"/>
    </row>
    <row r="51" spans="1:10" s="3" customFormat="1" ht="15" customHeight="1" x14ac:dyDescent="0.2">
      <c r="A51" s="188" t="str">
        <f>'Planilha orçamentária'!A50</f>
        <v>4.3</v>
      </c>
      <c r="B51" s="179"/>
      <c r="C51" s="179"/>
      <c r="D51" s="180" t="s">
        <v>115</v>
      </c>
      <c r="E51" s="180"/>
      <c r="F51" s="181"/>
      <c r="G51" s="383" t="s">
        <v>113</v>
      </c>
      <c r="H51" s="384"/>
      <c r="I51" s="385"/>
    </row>
    <row r="52" spans="1:10" s="3" customFormat="1" ht="15" customHeight="1" x14ac:dyDescent="0.2">
      <c r="A52" s="216"/>
      <c r="B52" s="194"/>
      <c r="C52" s="191"/>
      <c r="D52" s="195"/>
      <c r="E52" s="192"/>
      <c r="F52" s="196"/>
      <c r="G52" s="6" t="s">
        <v>49</v>
      </c>
      <c r="H52" s="6" t="s">
        <v>59</v>
      </c>
      <c r="I52" s="93" t="s">
        <v>51</v>
      </c>
    </row>
    <row r="53" spans="1:10" s="3" customFormat="1" ht="45" x14ac:dyDescent="0.2">
      <c r="A53" s="217" t="str">
        <f>'Planilha orçamentária'!A51</f>
        <v>4.3.1</v>
      </c>
      <c r="B53" s="215">
        <f>'Planilha orçamentária'!B51</f>
        <v>87507</v>
      </c>
      <c r="C53" s="215" t="str">
        <f>'Planilha orçamentária'!C51</f>
        <v>SINAPI</v>
      </c>
      <c r="D53" s="206" t="str">
        <f>'Planilha orçamentária'!D51</f>
        <v>ALVENARIA DE VEDAÇÃO DE BLOCOS CERÂMICOS FURADOS NA HORIZONTAL DE 9X14X19CM (ESPESSURA 9CM) DE PAREDES COM ÁREA LÍQUIDA MAIOR OU IGUAL A 6M² SEM VÃOS E ARGAMASSA DE ASSENTAMENTO COM PREPARO EM BETONEIRA. AF_06/2014</v>
      </c>
      <c r="E53" s="206" t="str">
        <f>'Planilha orçamentária'!E51</f>
        <v>m²</v>
      </c>
      <c r="F53" s="221">
        <f>G53*I53+H55+G54*I54+G56*I56</f>
        <v>251.26599999999999</v>
      </c>
      <c r="G53" s="24">
        <v>2</v>
      </c>
      <c r="H53" s="24"/>
      <c r="I53" s="94">
        <v>28</v>
      </c>
    </row>
    <row r="54" spans="1:10" s="3" customFormat="1" ht="11.25" x14ac:dyDescent="0.2">
      <c r="A54" s="217"/>
      <c r="B54" s="215"/>
      <c r="C54" s="215"/>
      <c r="D54" s="206"/>
      <c r="E54" s="206"/>
      <c r="F54" s="221"/>
      <c r="G54" s="24">
        <v>3.55</v>
      </c>
      <c r="H54" s="24"/>
      <c r="I54" s="94">
        <v>39</v>
      </c>
    </row>
    <row r="55" spans="1:10" s="3" customFormat="1" ht="11.25" x14ac:dyDescent="0.2">
      <c r="A55" s="217"/>
      <c r="B55" s="215"/>
      <c r="C55" s="215"/>
      <c r="D55" s="206"/>
      <c r="E55" s="206"/>
      <c r="F55" s="221"/>
      <c r="G55" s="24"/>
      <c r="H55" s="24">
        <f>4*10.64</f>
        <v>42.56</v>
      </c>
      <c r="I55" s="94"/>
    </row>
    <row r="56" spans="1:10" s="3" customFormat="1" ht="11.25" x14ac:dyDescent="0.2">
      <c r="A56" s="217"/>
      <c r="B56" s="215"/>
      <c r="C56" s="215"/>
      <c r="D56" s="206"/>
      <c r="E56" s="206"/>
      <c r="F56" s="221"/>
      <c r="G56" s="24">
        <v>1.65</v>
      </c>
      <c r="H56" s="24"/>
      <c r="I56" s="94">
        <v>8.64</v>
      </c>
    </row>
    <row r="57" spans="1:10" s="3" customFormat="1" ht="11.25" x14ac:dyDescent="0.2">
      <c r="A57" s="82" t="str">
        <f>'Planilha orçamentária'!A52</f>
        <v>4.3.2</v>
      </c>
      <c r="B57" s="29">
        <f>'Planilha orçamentária'!B52</f>
        <v>40780</v>
      </c>
      <c r="C57" s="21" t="str">
        <f>'Planilha orçamentária'!C52</f>
        <v>SINAPI</v>
      </c>
      <c r="D57" s="21" t="str">
        <f>'Planilha orçamentária'!D52</f>
        <v>REGULARIZAÇÃO DE SUPERFICIE DE CONCRETO APARENTE</v>
      </c>
      <c r="E57" s="21" t="str">
        <f>'Planilha orçamentária'!E52</f>
        <v>m²</v>
      </c>
      <c r="F57" s="26">
        <f>F59</f>
        <v>600.5</v>
      </c>
      <c r="G57" s="24" t="s">
        <v>86</v>
      </c>
      <c r="H57" s="24"/>
      <c r="I57" s="94"/>
    </row>
    <row r="58" spans="1:10" s="3" customFormat="1" ht="33.75" x14ac:dyDescent="0.2">
      <c r="A58" s="175" t="str">
        <f>'Planilha orçamentária'!A53</f>
        <v>4.3.3</v>
      </c>
      <c r="B58" s="252">
        <f>'Planilha orçamentária'!B53</f>
        <v>87893</v>
      </c>
      <c r="C58" s="202" t="str">
        <f>'Planilha orçamentária'!C53</f>
        <v>SINAPI</v>
      </c>
      <c r="D58" s="35" t="str">
        <f>'Planilha orçamentária'!D53</f>
        <v>CHAPISCO APLICADO EM ALVENARIA (SEM PRESENÇA DE VÃOS) E ESTRUTURAS DE CONCRETO DE FACHADA, COM COLHER DE PEDREIRO. ARGAMASSA TRAÇO 1:3 COM PREPARO EM BETONEIRA 400L. AF_06/2014</v>
      </c>
      <c r="E58" s="165" t="str">
        <f>'Planilha orçamentária'!E53</f>
        <v>m²</v>
      </c>
      <c r="F58" s="255">
        <f>F53</f>
        <v>251.26599999999999</v>
      </c>
      <c r="G58" s="24" t="s">
        <v>113</v>
      </c>
      <c r="H58" s="24"/>
      <c r="I58" s="94"/>
    </row>
    <row r="59" spans="1:10" s="3" customFormat="1" ht="11.25" x14ac:dyDescent="0.2">
      <c r="A59" s="217"/>
      <c r="B59" s="253"/>
      <c r="C59" s="190"/>
      <c r="D59" s="200"/>
      <c r="E59" s="189"/>
      <c r="F59" s="221">
        <f>(2*(G64*H64+G64*I64))+H64*I64</f>
        <v>600.5</v>
      </c>
      <c r="G59" s="24" t="s">
        <v>86</v>
      </c>
      <c r="H59" s="24"/>
      <c r="I59" s="94"/>
    </row>
    <row r="60" spans="1:10" s="3" customFormat="1" ht="33.75" x14ac:dyDescent="0.2">
      <c r="A60" s="175" t="str">
        <f>'Planilha orçamentária'!A54</f>
        <v>4.3.4</v>
      </c>
      <c r="B60" s="252">
        <f>'Planilha orçamentária'!B54</f>
        <v>87775</v>
      </c>
      <c r="C60" s="202" t="str">
        <f>'Planilha orçamentária'!C54</f>
        <v>SINAPI</v>
      </c>
      <c r="D60" s="35" t="str">
        <f>'Planilha orçamentária'!D54</f>
        <v>EMBOÇO OU MASSA ÚNICA EM ARGAMASSA TRAÇO 1:2:8, PREPARO MECÂNICO COM BETONEIRA 400 L, APLICADA MANUALMENTE EM PANOS DE FACHADA COM PRESENÇA
DE VÃOS, ESPESSURA DE 25 MM. AF_06/2014</v>
      </c>
      <c r="E60" s="165" t="str">
        <f>'Planilha orçamentária'!E54</f>
        <v>m²</v>
      </c>
      <c r="F60" s="255">
        <f>F53</f>
        <v>251.26599999999999</v>
      </c>
      <c r="G60" s="24" t="s">
        <v>113</v>
      </c>
      <c r="H60" s="24"/>
      <c r="I60" s="94"/>
      <c r="J60" s="291"/>
    </row>
    <row r="61" spans="1:10" s="3" customFormat="1" ht="11.25" x14ac:dyDescent="0.2">
      <c r="A61" s="176"/>
      <c r="B61" s="254"/>
      <c r="C61" s="193"/>
      <c r="D61" s="155"/>
      <c r="E61" s="166"/>
      <c r="F61" s="256">
        <f>(2*(G64*H64+G64*I64))+H64*I64</f>
        <v>600.5</v>
      </c>
      <c r="G61" s="24" t="s">
        <v>86</v>
      </c>
      <c r="H61" s="24"/>
      <c r="I61" s="94"/>
    </row>
    <row r="62" spans="1:10" s="3" customFormat="1" ht="15" customHeight="1" x14ac:dyDescent="0.2">
      <c r="A62" s="223" t="str">
        <f>'Planilha orçamentária'!A55</f>
        <v>4.4</v>
      </c>
      <c r="B62" s="152"/>
      <c r="C62" s="152"/>
      <c r="D62" s="153" t="s">
        <v>111</v>
      </c>
      <c r="E62" s="153"/>
      <c r="F62" s="154"/>
      <c r="G62" s="383" t="s">
        <v>86</v>
      </c>
      <c r="H62" s="384"/>
      <c r="I62" s="385"/>
    </row>
    <row r="63" spans="1:10" s="3" customFormat="1" ht="15" customHeight="1" x14ac:dyDescent="0.2">
      <c r="A63" s="216"/>
      <c r="B63" s="194"/>
      <c r="C63" s="191"/>
      <c r="D63" s="195"/>
      <c r="E63" s="192"/>
      <c r="F63" s="196"/>
      <c r="G63" s="6" t="s">
        <v>49</v>
      </c>
      <c r="H63" s="6" t="s">
        <v>50</v>
      </c>
      <c r="I63" s="93" t="s">
        <v>51</v>
      </c>
    </row>
    <row r="64" spans="1:10" s="3" customFormat="1" ht="22.5" x14ac:dyDescent="0.2">
      <c r="A64" s="176" t="str">
        <f>'Planilha orçamentária'!A56</f>
        <v>4.4.1</v>
      </c>
      <c r="B64" s="205">
        <f>'Planilha orçamentária'!B56</f>
        <v>10</v>
      </c>
      <c r="C64" s="205" t="str">
        <f>'Planilha orçamentária'!C56</f>
        <v>COMP</v>
      </c>
      <c r="D64" s="183" t="str">
        <f>'Planilha orçamentária'!D56</f>
        <v>IMPERMEABILIZAÇÃO DE SUPERFÍCIE COM MANTA ASFÁLTICA, UMA CAMADA, INCLUSIVE APLICAÇÃO DE PRIMER ASFÁLTICO, E=4MM.</v>
      </c>
      <c r="E64" s="183" t="str">
        <f>'Planilha orçamentária'!E56</f>
        <v>m²</v>
      </c>
      <c r="F64" s="256">
        <f>H64*I64+2*(G64*H64+G64*I64)</f>
        <v>600.5</v>
      </c>
      <c r="G64" s="24">
        <v>1.75</v>
      </c>
      <c r="H64" s="24">
        <v>18</v>
      </c>
      <c r="I64" s="94">
        <v>25</v>
      </c>
    </row>
    <row r="65" spans="1:10" s="3" customFormat="1" ht="15" customHeight="1" x14ac:dyDescent="0.2">
      <c r="A65" s="197" t="str">
        <f>'Planilha orçamentária'!A57</f>
        <v>4.5</v>
      </c>
      <c r="B65" s="198"/>
      <c r="C65" s="198"/>
      <c r="D65" s="199" t="s">
        <v>112</v>
      </c>
      <c r="E65" s="199"/>
      <c r="F65" s="201"/>
      <c r="G65" s="12"/>
      <c r="H65" s="13"/>
      <c r="I65" s="98"/>
    </row>
    <row r="66" spans="1:10" s="3" customFormat="1" ht="11.25" x14ac:dyDescent="0.2">
      <c r="A66" s="175"/>
      <c r="B66" s="252"/>
      <c r="C66" s="202"/>
      <c r="D66" s="35"/>
      <c r="E66" s="165"/>
      <c r="F66" s="150"/>
      <c r="G66" s="386" t="s">
        <v>86</v>
      </c>
      <c r="H66" s="386"/>
      <c r="I66" s="387"/>
      <c r="J66" s="14"/>
    </row>
    <row r="67" spans="1:10" s="3" customFormat="1" x14ac:dyDescent="0.2">
      <c r="A67" s="176"/>
      <c r="B67" s="254"/>
      <c r="C67" s="193"/>
      <c r="D67" s="155"/>
      <c r="E67" s="166"/>
      <c r="F67" s="203"/>
      <c r="G67" s="258" t="s">
        <v>49</v>
      </c>
      <c r="H67" s="258" t="s">
        <v>50</v>
      </c>
      <c r="I67" s="259" t="s">
        <v>51</v>
      </c>
      <c r="J67" s="14"/>
    </row>
    <row r="68" spans="1:10" s="3" customFormat="1" ht="33.75" x14ac:dyDescent="0.2">
      <c r="A68" s="88" t="str">
        <f>'Planilha orçamentária'!A58</f>
        <v>4.5.1</v>
      </c>
      <c r="B68" s="29">
        <f>'Planilha orçamentária'!B58</f>
        <v>4440</v>
      </c>
      <c r="C68" s="29" t="str">
        <f>'Planilha orçamentária'!C58</f>
        <v>ORSE</v>
      </c>
      <c r="D68" s="29" t="str">
        <f>'Planilha orçamentária'!D58</f>
        <v>Revestimento cerâmico para parede, 10 x 10 cm, Elizabeth, linha lux neve, aplicado com argamassa industrializada ac-ii, rejuntado, exclusive regularização de base ou emboço - Rev 04</v>
      </c>
      <c r="E68" s="29" t="str">
        <f>'Planilha orçamentária'!E58</f>
        <v>m²</v>
      </c>
      <c r="F68" s="256">
        <f>H68*I68+2*(G68*H68+G68*I68)</f>
        <v>600.5</v>
      </c>
      <c r="G68" s="187">
        <v>1.75</v>
      </c>
      <c r="H68" s="24">
        <v>18</v>
      </c>
      <c r="I68" s="94">
        <v>25</v>
      </c>
      <c r="J68" s="75"/>
    </row>
    <row r="69" spans="1:10" s="3" customFormat="1" ht="30" x14ac:dyDescent="0.2">
      <c r="A69" s="251"/>
      <c r="B69" s="254"/>
      <c r="C69" s="254"/>
      <c r="D69" s="254"/>
      <c r="E69" s="254"/>
      <c r="F69" s="256"/>
      <c r="G69" s="257"/>
      <c r="H69" s="226" t="s">
        <v>205</v>
      </c>
      <c r="I69" s="227" t="s">
        <v>204</v>
      </c>
      <c r="J69" s="75"/>
    </row>
    <row r="70" spans="1:10" s="3" customFormat="1" ht="22.5" x14ac:dyDescent="0.2">
      <c r="A70" s="251" t="str">
        <f>'Planilha orçamentária'!A59</f>
        <v>4.5.2</v>
      </c>
      <c r="B70" s="254">
        <f>'Planilha orçamentária'!B59</f>
        <v>95240</v>
      </c>
      <c r="C70" s="254" t="str">
        <f>'Planilha orçamentária'!C59</f>
        <v>SINAPI</v>
      </c>
      <c r="D70" s="254" t="str">
        <f>'Planilha orçamentária'!D59</f>
        <v>LASTRO DE CONCRETO MAGRO, APLICADO EM PISOS OU RADIERS, ESPESSURA DE 3 CM. AF_07/2016</v>
      </c>
      <c r="E70" s="254" t="str">
        <f>'Planilha orçamentária'!E59</f>
        <v>m²</v>
      </c>
      <c r="F70" s="26">
        <f>I70-H70</f>
        <v>312.56999999999994</v>
      </c>
      <c r="G70" s="187" t="s">
        <v>487</v>
      </c>
      <c r="H70" s="24">
        <f>H68*I68</f>
        <v>450</v>
      </c>
      <c r="I70" s="94">
        <f>4.43+752.4+5.74</f>
        <v>762.56999999999994</v>
      </c>
      <c r="J70" s="75"/>
    </row>
    <row r="71" spans="1:10" s="3" customFormat="1" ht="33.75" x14ac:dyDescent="0.2">
      <c r="A71" s="88" t="str">
        <f>'Planilha orçamentária'!A60</f>
        <v>4.5.3</v>
      </c>
      <c r="B71" s="29">
        <f>'Planilha orçamentária'!B60</f>
        <v>87735</v>
      </c>
      <c r="C71" s="254" t="str">
        <f>'Planilha orçamentária'!C60</f>
        <v>SINAPI</v>
      </c>
      <c r="D71" s="254" t="str">
        <f>'Planilha orçamentária'!D60</f>
        <v>CONTRAPISO EM ARGAMASSA TRAÇO 1:4 (CIMENTO E AREIA), PREPARO MECÂNICO COM BETONEIRA 400 L, APLICADO EM ÁREAS MOLHADAS SOBRE LAJE, ADERIDO, E
SPESSURA 2CM. AF_06/2014</v>
      </c>
      <c r="E71" s="254" t="str">
        <f>'Planilha orçamentária'!E60</f>
        <v>m²</v>
      </c>
      <c r="F71" s="26">
        <f>I71-H71</f>
        <v>312.56999999999994</v>
      </c>
      <c r="G71" s="24" t="s">
        <v>487</v>
      </c>
      <c r="H71" s="24">
        <v>450</v>
      </c>
      <c r="I71" s="94">
        <f>4.43+752.4+5.74</f>
        <v>762.56999999999994</v>
      </c>
      <c r="J71" s="75"/>
    </row>
    <row r="72" spans="1:10" s="3" customFormat="1" ht="33.75" x14ac:dyDescent="0.2">
      <c r="A72" s="88" t="str">
        <f>'Planilha orçamentária'!A61</f>
        <v>4.5.4</v>
      </c>
      <c r="B72" s="29">
        <f>'Planilha orçamentária'!B61</f>
        <v>8928</v>
      </c>
      <c r="C72" s="29" t="str">
        <f>'Planilha orçamentária'!C61</f>
        <v>ORSE</v>
      </c>
      <c r="D72" s="29" t="str">
        <f>'Planilha orçamentária'!D61</f>
        <v>Revestimento cerâmico para piso ou parede, 50 x 50 cm, antiderrapante (porcelanato), Elizabeth ou similar, aplicado com argamassa industrializada ac-iii, rejuntado, exclusive regularização de base ou emboço</v>
      </c>
      <c r="E72" s="29" t="str">
        <f>'Planilha orçamentária'!E61</f>
        <v>m²</v>
      </c>
      <c r="F72" s="26">
        <f>752.4-(H68*I68)</f>
        <v>302.39999999999998</v>
      </c>
      <c r="G72" s="24" t="s">
        <v>487</v>
      </c>
      <c r="H72" s="24">
        <f>H68*I68</f>
        <v>450</v>
      </c>
      <c r="I72" s="94">
        <f>4.43+752.4+5.74</f>
        <v>762.56999999999994</v>
      </c>
      <c r="J72" s="231"/>
    </row>
    <row r="73" spans="1:10" s="3" customFormat="1" x14ac:dyDescent="0.2">
      <c r="A73" s="88"/>
      <c r="B73" s="29"/>
      <c r="C73" s="29"/>
      <c r="D73" s="29"/>
      <c r="E73" s="29"/>
      <c r="F73" s="26"/>
      <c r="G73" s="258"/>
      <c r="H73" s="258" t="s">
        <v>50</v>
      </c>
      <c r="I73" s="259" t="s">
        <v>51</v>
      </c>
      <c r="J73" s="231"/>
    </row>
    <row r="74" spans="1:10" s="3" customFormat="1" ht="33.75" x14ac:dyDescent="0.2">
      <c r="A74" s="88" t="str">
        <f>'Planilha orçamentária'!A62</f>
        <v>4.5.5</v>
      </c>
      <c r="B74" s="29">
        <f>'Planilha orçamentária'!B62</f>
        <v>10614</v>
      </c>
      <c r="C74" s="29" t="str">
        <f>'Planilha orçamentária'!C62</f>
        <v>ORSE</v>
      </c>
      <c r="D74" s="29" t="str">
        <f>'Planilha orçamentária'!D62</f>
        <v>Granito amarelo São Francisco, e=2cm, l = 10cm, acabamento apicoado com borda abaulada - Borda da piscina da Bica de Lagarto, aplicado com argamassa industrializada ac-i, rejuntado, exclusive emboço</v>
      </c>
      <c r="E74" s="29" t="str">
        <f>'Planilha orçamentária'!E62</f>
        <v>m</v>
      </c>
      <c r="F74" s="26">
        <f>2*(H74+I74)</f>
        <v>86</v>
      </c>
      <c r="G74" s="24"/>
      <c r="H74" s="24">
        <f>H68</f>
        <v>18</v>
      </c>
      <c r="I74" s="94">
        <f>I68</f>
        <v>25</v>
      </c>
      <c r="J74" s="231"/>
    </row>
    <row r="75" spans="1:10" s="3" customFormat="1" ht="11.25" x14ac:dyDescent="0.2">
      <c r="A75" s="218"/>
      <c r="B75" s="252"/>
      <c r="C75" s="202"/>
      <c r="D75" s="252"/>
      <c r="E75" s="252"/>
      <c r="F75" s="255"/>
      <c r="G75" s="364" t="s">
        <v>113</v>
      </c>
      <c r="H75" s="364"/>
      <c r="I75" s="365"/>
    </row>
    <row r="76" spans="1:10" s="3" customFormat="1" ht="30" x14ac:dyDescent="0.2">
      <c r="A76" s="228"/>
      <c r="B76" s="253"/>
      <c r="C76" s="190"/>
      <c r="D76" s="254"/>
      <c r="E76" s="254"/>
      <c r="F76" s="221"/>
      <c r="G76" s="258" t="s">
        <v>49</v>
      </c>
      <c r="H76" s="207" t="s">
        <v>51</v>
      </c>
      <c r="I76" s="219" t="s">
        <v>208</v>
      </c>
      <c r="J76" s="75"/>
    </row>
    <row r="77" spans="1:10" s="3" customFormat="1" ht="22.5" x14ac:dyDescent="0.2">
      <c r="A77" s="218" t="str">
        <f>'Planilha orçamentária'!A63</f>
        <v>4.5.6</v>
      </c>
      <c r="B77" s="252">
        <f>'Planilha orçamentária'!B63</f>
        <v>88489</v>
      </c>
      <c r="C77" s="202" t="str">
        <f>'Planilha orçamentária'!C63</f>
        <v>SINAPI</v>
      </c>
      <c r="D77" s="252" t="str">
        <f>'Planilha orçamentária'!D63</f>
        <v>APLICAÇÃO MANUAL DE PINTURA COM TINTA LÁTEX ACRÍLICA EM PAREDES, DUAS DEMÃOS. AF_06/2014</v>
      </c>
      <c r="E77" s="202" t="str">
        <f>'Planilha orçamentária'!E63</f>
        <v>m²</v>
      </c>
      <c r="F77" s="255">
        <f>I77+F60+G78*H78*3*2</f>
        <v>577.101</v>
      </c>
      <c r="G77" s="24"/>
      <c r="H77" s="24"/>
      <c r="I77" s="94">
        <f>125.32*2</f>
        <v>250.64</v>
      </c>
      <c r="J77" s="75"/>
    </row>
    <row r="78" spans="1:10" s="3" customFormat="1" ht="22.5" x14ac:dyDescent="0.2">
      <c r="A78" s="292"/>
      <c r="B78" s="230"/>
      <c r="C78" s="229"/>
      <c r="D78" s="230"/>
      <c r="E78" s="229"/>
      <c r="F78" s="230"/>
      <c r="G78" s="24">
        <v>0.45</v>
      </c>
      <c r="H78" s="24">
        <v>27.85</v>
      </c>
      <c r="I78" s="94" t="s">
        <v>207</v>
      </c>
      <c r="J78" s="75"/>
    </row>
    <row r="79" spans="1:10" s="3" customFormat="1" ht="11.25" x14ac:dyDescent="0.2">
      <c r="A79" s="151" t="str">
        <f>'Planilha orçamentária'!A64</f>
        <v>4.6</v>
      </c>
      <c r="B79" s="152"/>
      <c r="C79" s="232"/>
      <c r="D79" s="19" t="str">
        <f>'Planilha orçamentária'!D64</f>
        <v>INSTALAÇÕES ELÉTRICAS DAS ARQUIBANCADAS</v>
      </c>
      <c r="E79" s="153"/>
      <c r="F79" s="154"/>
      <c r="G79" s="390" t="s">
        <v>267</v>
      </c>
      <c r="H79" s="391"/>
      <c r="I79" s="392"/>
      <c r="J79" s="75"/>
    </row>
    <row r="80" spans="1:10" s="3" customFormat="1" ht="11.25" x14ac:dyDescent="0.2">
      <c r="A80" s="151" t="str">
        <f>'Planilha orçamentária'!A65</f>
        <v>4.6.1</v>
      </c>
      <c r="B80" s="152"/>
      <c r="C80" s="232"/>
      <c r="D80" s="19" t="str">
        <f>'Planilha orçamentária'!D65</f>
        <v>PONTOS ELÉTRICOS</v>
      </c>
      <c r="E80" s="153"/>
      <c r="F80" s="154"/>
      <c r="G80" s="390"/>
      <c r="H80" s="391"/>
      <c r="I80" s="392"/>
      <c r="J80" s="75"/>
    </row>
    <row r="81" spans="1:10" s="3" customFormat="1" ht="11.25" x14ac:dyDescent="0.2">
      <c r="A81" s="293" t="str">
        <f>'Planilha orçamentária'!A66</f>
        <v>4.6.1.1</v>
      </c>
      <c r="B81" s="234">
        <f>'Planilha orçamentária'!B66</f>
        <v>3278</v>
      </c>
      <c r="C81" s="234" t="str">
        <f>'Planilha orçamentária'!C66</f>
        <v>ORSE</v>
      </c>
      <c r="D81" s="234" t="str">
        <f>'Planilha orçamentária'!D66</f>
        <v xml:space="preserve">	Ponto de interruptor 01 seção (1 s) embutido com eletroduto de pvc flexível sanfonado Ø 3/4"</v>
      </c>
      <c r="E81" s="234" t="str">
        <f>'Planilha orçamentária'!E66</f>
        <v>pt</v>
      </c>
      <c r="F81" s="230">
        <v>1</v>
      </c>
      <c r="G81" s="390"/>
      <c r="H81" s="391"/>
      <c r="I81" s="392"/>
      <c r="J81" s="75"/>
    </row>
    <row r="82" spans="1:10" s="3" customFormat="1" ht="11.25" x14ac:dyDescent="0.2">
      <c r="A82" s="293" t="str">
        <f>'Planilha orçamentária'!A68</f>
        <v>4.6.1.3</v>
      </c>
      <c r="B82" s="234">
        <f>'Planilha orçamentária'!B68</f>
        <v>97586</v>
      </c>
      <c r="C82" s="234" t="str">
        <f>'Planilha orçamentária'!C68</f>
        <v>SINAPI</v>
      </c>
      <c r="D82" s="234" t="str">
        <f>'Planilha orçamentária'!D68</f>
        <v>LUMINÁRIA TIPO CALHA, DE SOBREPOR, COM 2 LÂMPADAS TUBULARES DE 36 W
FORNECIMENTO E INSTALAÇÃO. AF_11/2017</v>
      </c>
      <c r="E82" s="234" t="str">
        <f>'Planilha orçamentária'!E68</f>
        <v>UND</v>
      </c>
      <c r="F82" s="230">
        <v>12</v>
      </c>
      <c r="G82" s="390"/>
      <c r="H82" s="391"/>
      <c r="I82" s="392"/>
      <c r="J82" s="75"/>
    </row>
    <row r="83" spans="1:10" s="3" customFormat="1" ht="11.25" x14ac:dyDescent="0.2">
      <c r="A83" s="92" t="str">
        <f>'Planilha orçamentária'!A69</f>
        <v>4.6.2</v>
      </c>
      <c r="B83" s="113"/>
      <c r="C83" s="113"/>
      <c r="D83" s="19" t="str">
        <f>'Planilha orçamentária'!D69</f>
        <v>QPDG</v>
      </c>
      <c r="E83" s="19"/>
      <c r="F83" s="154"/>
      <c r="G83" s="390"/>
      <c r="H83" s="391"/>
      <c r="I83" s="392"/>
      <c r="J83" s="75"/>
    </row>
    <row r="84" spans="1:10" s="3" customFormat="1" ht="11.25" x14ac:dyDescent="0.2">
      <c r="A84" s="293" t="str">
        <f>'Planilha orçamentária'!A70</f>
        <v>4.6.2.1</v>
      </c>
      <c r="B84" s="234">
        <f>'Planilha orçamentária'!B70</f>
        <v>10793</v>
      </c>
      <c r="C84" s="234" t="str">
        <f>'Planilha orçamentária'!C70</f>
        <v>ORSE</v>
      </c>
      <c r="D84" s="234" t="str">
        <f>'Planilha orçamentária'!D70</f>
        <v xml:space="preserve">	Caixa de passagem pvc, 4" x 2" cm, embutir, p/eletroduto</v>
      </c>
      <c r="E84" s="234" t="str">
        <f>'Planilha orçamentária'!E70</f>
        <v>UND</v>
      </c>
      <c r="F84" s="230">
        <v>3</v>
      </c>
      <c r="G84" s="393"/>
      <c r="H84" s="394"/>
      <c r="I84" s="395"/>
      <c r="J84" s="75"/>
    </row>
    <row r="85" spans="1:10" s="3" customFormat="1" x14ac:dyDescent="0.2">
      <c r="A85" s="151" t="str">
        <f>'Planilha orçamentária'!A71</f>
        <v>4.7</v>
      </c>
      <c r="B85" s="152"/>
      <c r="C85" s="232"/>
      <c r="D85" s="19" t="str">
        <f>'Planilha orçamentária'!D71</f>
        <v>INSTALAÇÕES HIDRAULICAS</v>
      </c>
      <c r="E85" s="153"/>
      <c r="F85" s="154"/>
      <c r="G85" s="258" t="s">
        <v>49</v>
      </c>
      <c r="H85" s="258" t="s">
        <v>50</v>
      </c>
      <c r="I85" s="259" t="s">
        <v>51</v>
      </c>
      <c r="J85" s="14"/>
    </row>
    <row r="86" spans="1:10" s="3" customFormat="1" ht="11.25" x14ac:dyDescent="0.2">
      <c r="A86" s="88" t="str">
        <f>'Planilha orçamentária'!A72</f>
        <v>4.7.1</v>
      </c>
      <c r="B86" s="29">
        <f>'Planilha orçamentária'!B72</f>
        <v>12359</v>
      </c>
      <c r="C86" s="29" t="str">
        <f>'Planilha orçamentária'!C72</f>
        <v>ORSE</v>
      </c>
      <c r="D86" s="29" t="str">
        <f>'Planilha orçamentária'!D72</f>
        <v>Ralo de fundo 2", anti-turbilhão, em bronze</v>
      </c>
      <c r="E86" s="29" t="str">
        <f>'Planilha orçamentária'!E72</f>
        <v>un</v>
      </c>
      <c r="F86" s="158">
        <v>5</v>
      </c>
      <c r="G86" s="163"/>
      <c r="H86" s="163"/>
      <c r="I86" s="174"/>
      <c r="J86" s="14"/>
    </row>
    <row r="87" spans="1:10" s="3" customFormat="1" ht="11.25" x14ac:dyDescent="0.2">
      <c r="A87" s="88" t="str">
        <f>'Planilha orçamentária'!A73</f>
        <v>4.7.2</v>
      </c>
      <c r="B87" s="29">
        <f>'Planilha orçamentária'!B73</f>
        <v>10965</v>
      </c>
      <c r="C87" s="29" t="str">
        <f>'Planilha orçamentária'!C73</f>
        <v>ORSE</v>
      </c>
      <c r="D87" s="29" t="str">
        <f>'Planilha orçamentária'!D73</f>
        <v>Coadeira Skimer Modelo WC</v>
      </c>
      <c r="E87" s="29" t="str">
        <f>'Planilha orçamentária'!E73</f>
        <v>un</v>
      </c>
      <c r="F87" s="158">
        <f>H87*I87/50</f>
        <v>9</v>
      </c>
      <c r="G87" s="163">
        <v>1.75</v>
      </c>
      <c r="H87" s="163">
        <v>18</v>
      </c>
      <c r="I87" s="174">
        <v>25</v>
      </c>
      <c r="J87" s="75"/>
    </row>
    <row r="88" spans="1:10" s="3" customFormat="1" ht="11.25" x14ac:dyDescent="0.2">
      <c r="A88" s="88" t="str">
        <f>'Planilha orçamentária'!A74</f>
        <v>4.7.3</v>
      </c>
      <c r="B88" s="29">
        <f>'Planilha orçamentária'!B74</f>
        <v>10964</v>
      </c>
      <c r="C88" s="29" t="str">
        <f>'Planilha orçamentária'!C74</f>
        <v>ORSE</v>
      </c>
      <c r="D88" s="29" t="str">
        <f>'Planilha orçamentária'!D74</f>
        <v>Dispositivo de aspiração Modelo VF20</v>
      </c>
      <c r="E88" s="29" t="str">
        <f>'Planilha orçamentária'!E74</f>
        <v>un</v>
      </c>
      <c r="F88" s="158">
        <v>8</v>
      </c>
      <c r="G88" s="163"/>
      <c r="H88" s="163"/>
      <c r="I88" s="174"/>
      <c r="J88" s="75"/>
    </row>
    <row r="89" spans="1:10" s="3" customFormat="1" ht="11.25" x14ac:dyDescent="0.2">
      <c r="A89" s="88" t="str">
        <f>'Planilha orçamentária'!A75</f>
        <v>4.7.4</v>
      </c>
      <c r="B89" s="29">
        <f>'Planilha orçamentária'!B75</f>
        <v>10963</v>
      </c>
      <c r="C89" s="29" t="str">
        <f>'Planilha orçamentária'!C75</f>
        <v>ORSE</v>
      </c>
      <c r="D89" s="29" t="str">
        <f>'Planilha orçamentária'!D75</f>
        <v>Dispositivo de retorno Modelo CF20</v>
      </c>
      <c r="E89" s="29" t="str">
        <f>'Planilha orçamentária'!E75</f>
        <v>un</v>
      </c>
      <c r="F89" s="158">
        <f>ROUNDUP(G89*H89*I89/50,0)</f>
        <v>16</v>
      </c>
      <c r="G89" s="163">
        <v>1.75</v>
      </c>
      <c r="H89" s="163">
        <v>18</v>
      </c>
      <c r="I89" s="174">
        <v>25</v>
      </c>
      <c r="J89" s="75"/>
    </row>
    <row r="90" spans="1:10" s="3" customFormat="1" ht="11.25" x14ac:dyDescent="0.2">
      <c r="A90" s="82" t="str">
        <f>'Planilha orçamentária'!A76</f>
        <v>4.7.5</v>
      </c>
      <c r="B90" s="29">
        <f>'Planilha orçamentária'!B76</f>
        <v>1</v>
      </c>
      <c r="C90" s="29" t="str">
        <f>'Planilha orçamentária'!C76</f>
        <v>CP</v>
      </c>
      <c r="D90" s="29" t="str">
        <f>'Planilha orçamentária'!D76</f>
        <v>Motobomba Piscina Nautilus 5CV - B9NRL-50 Ref: 1132</v>
      </c>
      <c r="E90" s="29" t="str">
        <f>'Planilha orçamentária'!E76</f>
        <v>un</v>
      </c>
      <c r="F90" s="158">
        <v>1</v>
      </c>
      <c r="G90" s="163"/>
      <c r="H90" s="163"/>
      <c r="I90" s="174"/>
      <c r="J90" s="75"/>
    </row>
    <row r="91" spans="1:10" s="3" customFormat="1" ht="11.25" x14ac:dyDescent="0.2">
      <c r="A91" s="82" t="str">
        <f>'Planilha orçamentária'!A77</f>
        <v>4.7.6</v>
      </c>
      <c r="B91" s="29">
        <f>'Planilha orçamentária'!B77</f>
        <v>2</v>
      </c>
      <c r="C91" s="29" t="str">
        <f>'Planilha orçamentária'!C77</f>
        <v>CP</v>
      </c>
      <c r="D91" s="29" t="str">
        <f>'Planilha orçamentária'!D77</f>
        <v>Filtro Areia MODELO F1150p Para Piscinas Nautilus</v>
      </c>
      <c r="E91" s="29" t="str">
        <f>'Planilha orçamentária'!E77</f>
        <v>un</v>
      </c>
      <c r="F91" s="158">
        <v>1</v>
      </c>
      <c r="G91" s="163"/>
      <c r="H91" s="163"/>
      <c r="I91" s="174"/>
      <c r="J91" s="75"/>
    </row>
    <row r="92" spans="1:10" s="3" customFormat="1" x14ac:dyDescent="0.2">
      <c r="A92" s="151" t="str">
        <f>'Planilha orçamentária'!A79</f>
        <v>4.8</v>
      </c>
      <c r="B92" s="152"/>
      <c r="C92" s="152"/>
      <c r="D92" s="153" t="s">
        <v>100</v>
      </c>
      <c r="E92" s="153"/>
      <c r="F92" s="154"/>
      <c r="G92" s="258"/>
      <c r="H92" s="258"/>
      <c r="I92" s="259" t="s">
        <v>51</v>
      </c>
      <c r="J92" s="14"/>
    </row>
    <row r="93" spans="1:10" s="3" customFormat="1" ht="45" x14ac:dyDescent="0.2">
      <c r="A93" s="88" t="str">
        <f>'Planilha orçamentária'!A80</f>
        <v>4.8.1</v>
      </c>
      <c r="B93" s="29">
        <f>'Planilha orçamentária'!B80</f>
        <v>99839</v>
      </c>
      <c r="C93" s="29" t="str">
        <f>'Planilha orçamentária'!C80</f>
        <v>SINAPI</v>
      </c>
      <c r="D93" s="29" t="str">
        <f>'Planilha orçamentária'!D80</f>
        <v>GUARDA-CORPO DE AÇO GALVANIZADO DE 1,10M DE ALTURA, MONTANTES TUBULARES DE 1.1/2 ESPAÇADOS DE 1,20M, TRAVESSA SUPERIOR DE 2, GRADIL FORMAD
O POR BARRAS CHATAS EM FERRO DE 32X4,8MM, FIXADO COM CHUMBADOR MECÂNIC
O. AF_04/2019_P</v>
      </c>
      <c r="E93" s="29" t="str">
        <f>'Planilha orçamentária'!E80</f>
        <v>m</v>
      </c>
      <c r="F93" s="158">
        <f>I93</f>
        <v>52.089999999999989</v>
      </c>
      <c r="G93" s="163"/>
      <c r="H93" s="163" t="s">
        <v>217</v>
      </c>
      <c r="I93" s="174">
        <f>3*8.78+8.48+7.83+9.44</f>
        <v>52.089999999999989</v>
      </c>
      <c r="J93" s="75"/>
    </row>
    <row r="94" spans="1:10" s="3" customFormat="1" x14ac:dyDescent="0.2">
      <c r="A94" s="151" t="str">
        <f>'Planilha orçamentária'!A81</f>
        <v>4.9</v>
      </c>
      <c r="B94" s="152"/>
      <c r="C94" s="152"/>
      <c r="D94" s="153" t="str">
        <f>'Planilha orçamentária'!D81</f>
        <v>COBERTURA</v>
      </c>
      <c r="E94" s="153"/>
      <c r="F94" s="154"/>
      <c r="G94" s="306"/>
      <c r="H94" s="306"/>
      <c r="I94" s="307" t="s">
        <v>59</v>
      </c>
      <c r="J94" s="14"/>
    </row>
    <row r="95" spans="1:10" s="3" customFormat="1" ht="22.5" x14ac:dyDescent="0.2">
      <c r="A95" s="88" t="str">
        <f>'Planilha orçamentária'!A82</f>
        <v>4.9.1</v>
      </c>
      <c r="B95" s="29">
        <f>'Planilha orçamentária'!B82</f>
        <v>94216</v>
      </c>
      <c r="C95" s="29" t="str">
        <f>'Planilha orçamentária'!C82</f>
        <v>SINAPI</v>
      </c>
      <c r="D95" s="29" t="str">
        <f>'Planilha orçamentária'!D82</f>
        <v>TELHAMENTO COM TELHA METÁLICA TERMOACÚSTICA E = 30 MM, COM ATÉ 2 ÁGUAS, INCLUSO IÇAMENTO. AF_07/2019</v>
      </c>
      <c r="E95" s="29" t="str">
        <f>'Planilha orçamentária'!E82</f>
        <v>m²</v>
      </c>
      <c r="F95" s="158">
        <f>I95</f>
        <v>410.03999999999996</v>
      </c>
      <c r="G95" s="163"/>
      <c r="H95" s="163"/>
      <c r="I95" s="174">
        <f>30.15*6.8*2</f>
        <v>410.03999999999996</v>
      </c>
      <c r="J95" s="75"/>
    </row>
    <row r="96" spans="1:10" s="139" customFormat="1" x14ac:dyDescent="0.2">
      <c r="A96" s="126">
        <f>'Planilha orçamentária'!A84</f>
        <v>5</v>
      </c>
      <c r="B96" s="127"/>
      <c r="C96" s="127"/>
      <c r="D96" s="127" t="str">
        <f>'Planilha orçamentária'!D84</f>
        <v>ÁREA EXTERNA E ESTACIONAMENTO</v>
      </c>
      <c r="E96" s="127"/>
      <c r="F96" s="128"/>
      <c r="G96" s="257" t="s">
        <v>59</v>
      </c>
      <c r="H96" s="258"/>
      <c r="I96" s="259"/>
    </row>
    <row r="97" spans="1:10" s="139" customFormat="1" x14ac:dyDescent="0.2">
      <c r="A97" s="151" t="str">
        <f>'Planilha orçamentária'!A85</f>
        <v>5.1</v>
      </c>
      <c r="B97" s="152"/>
      <c r="C97" s="232"/>
      <c r="D97" s="19" t="str">
        <f>'Planilha orçamentária'!D85</f>
        <v>PISO</v>
      </c>
      <c r="E97" s="153"/>
      <c r="F97" s="154"/>
      <c r="G97" s="5"/>
      <c r="H97" s="6"/>
      <c r="I97" s="93"/>
    </row>
    <row r="98" spans="1:10" s="3" customFormat="1" ht="22.5" x14ac:dyDescent="0.2">
      <c r="A98" s="82" t="str">
        <f>'Planilha orçamentária'!A86</f>
        <v>5.1.1</v>
      </c>
      <c r="B98" s="29">
        <f>'Planilha orçamentária'!B86</f>
        <v>92397</v>
      </c>
      <c r="C98" s="29" t="str">
        <f>'Planilha orçamentária'!C86</f>
        <v>SINAPI</v>
      </c>
      <c r="D98" s="29" t="str">
        <f>'Planilha orçamentária'!D86</f>
        <v>EXECUÇÃO DE PÁTIO/ESTACIONAMENTO EM PISO INTERTRAVADO, COM BLOCO RETANGULAR COR NATURAL DE 20 X 10 CM, ESPESSURA 6 CM. AF_12/2015</v>
      </c>
      <c r="E98" s="21" t="str">
        <f>'Planilha orçamentária'!E86</f>
        <v>m²</v>
      </c>
      <c r="F98" s="26">
        <f>G98</f>
        <v>557.30999999999995</v>
      </c>
      <c r="G98" s="187">
        <f>393.49+163.82</f>
        <v>557.30999999999995</v>
      </c>
      <c r="H98" s="24"/>
      <c r="I98" s="94"/>
    </row>
    <row r="99" spans="1:10" s="3" customFormat="1" ht="33.75" x14ac:dyDescent="0.2">
      <c r="A99" s="82" t="str">
        <f>'Planilha orçamentária'!A87</f>
        <v>5.1.2</v>
      </c>
      <c r="B99" s="29">
        <f>'Planilha orçamentária'!B87</f>
        <v>94994</v>
      </c>
      <c r="C99" s="29" t="str">
        <f>'Planilha orçamentária'!C87</f>
        <v>SINAPI</v>
      </c>
      <c r="D99" s="29" t="str">
        <f>'Planilha orçamentária'!D87</f>
        <v>EXECUÇÃO DE PASSEIO (CALÇADA) OU PISO DE CONCRETO COM CONCRETO MOLDADO IN LOCO, FEITO EM OBRA, ACABAMENTO CONVENCIONAL, ESPESSURA 8 CM, ARMA
DO. AF_07/2016</v>
      </c>
      <c r="E99" s="21" t="str">
        <f>'Planilha orçamentária'!E87</f>
        <v>m²</v>
      </c>
      <c r="F99" s="26">
        <f t="shared" ref="F99:F101" si="1">G99</f>
        <v>162.24</v>
      </c>
      <c r="G99" s="187">
        <v>162.24</v>
      </c>
      <c r="H99" s="24"/>
      <c r="I99" s="94"/>
    </row>
    <row r="100" spans="1:10" s="3" customFormat="1" ht="22.5" x14ac:dyDescent="0.2">
      <c r="A100" s="82" t="str">
        <f>'Planilha orçamentária'!A88</f>
        <v>5.1.3</v>
      </c>
      <c r="B100" s="29">
        <f>'Planilha orçamentária'!B88</f>
        <v>3</v>
      </c>
      <c r="C100" s="29" t="str">
        <f>'Planilha orçamentária'!C88</f>
        <v>COMP</v>
      </c>
      <c r="D100" s="29" t="str">
        <f>'Planilha orçamentária'!D88</f>
        <v>Regularização, nivelamento e espalhamento da mistura fértil orgânica - Incluindo adubo - altura = 10cm</v>
      </c>
      <c r="E100" s="21" t="str">
        <f>'Planilha orçamentária'!E88</f>
        <v>m²</v>
      </c>
      <c r="F100" s="26">
        <f t="shared" si="1"/>
        <v>87.03</v>
      </c>
      <c r="G100" s="187">
        <f>3.98+0.6+3.79+54.8+12.09+7.48+2.16+2.13</f>
        <v>87.03</v>
      </c>
      <c r="H100" s="24"/>
      <c r="I100" s="94"/>
    </row>
    <row r="101" spans="1:10" s="3" customFormat="1" ht="11.25" x14ac:dyDescent="0.2">
      <c r="A101" s="82" t="str">
        <f>'Planilha orçamentária'!A89</f>
        <v>5.1.4</v>
      </c>
      <c r="B101" s="29">
        <f>'Planilha orçamentária'!B89</f>
        <v>98504</v>
      </c>
      <c r="C101" s="29" t="str">
        <f>'Planilha orçamentária'!C89</f>
        <v>SINAPI</v>
      </c>
      <c r="D101" s="29" t="str">
        <f>'Planilha orçamentária'!D89</f>
        <v>PLANTIO DE GRAMA EM PLACAS. AF_05/2018</v>
      </c>
      <c r="E101" s="21" t="str">
        <f>'Planilha orçamentária'!E89</f>
        <v>m²</v>
      </c>
      <c r="F101" s="26">
        <f t="shared" si="1"/>
        <v>87.03</v>
      </c>
      <c r="G101" s="187">
        <f>3.98+0.6+3.79+54.8+12.09+7.48+2.16+2.13</f>
        <v>87.03</v>
      </c>
      <c r="H101" s="24"/>
      <c r="I101" s="94"/>
    </row>
    <row r="102" spans="1:10" s="3" customFormat="1" ht="11.25" x14ac:dyDescent="0.2">
      <c r="A102" s="151" t="str">
        <f>'Planilha orçamentária'!A90</f>
        <v>5.2</v>
      </c>
      <c r="B102" s="152"/>
      <c r="C102" s="232"/>
      <c r="D102" s="19" t="str">
        <f>'Planilha orçamentária'!D90</f>
        <v>INSTALAÇÕES ELÉTRICAS DAS ARQUIBANCADAS</v>
      </c>
      <c r="E102" s="153"/>
      <c r="F102" s="154"/>
      <c r="G102" s="388" t="s">
        <v>267</v>
      </c>
      <c r="H102" s="388"/>
      <c r="I102" s="389"/>
    </row>
    <row r="103" spans="1:10" s="3" customFormat="1" ht="11.25" x14ac:dyDescent="0.2">
      <c r="A103" s="151" t="str">
        <f>'Planilha orçamentária'!A91</f>
        <v>5.2.1</v>
      </c>
      <c r="B103" s="152"/>
      <c r="C103" s="232"/>
      <c r="D103" s="19" t="str">
        <f>'Planilha orçamentária'!D91</f>
        <v>POSTES</v>
      </c>
      <c r="E103" s="153"/>
      <c r="F103" s="154"/>
      <c r="G103" s="388"/>
      <c r="H103" s="388"/>
      <c r="I103" s="389"/>
    </row>
    <row r="104" spans="1:10" s="3" customFormat="1" ht="11.25" x14ac:dyDescent="0.2">
      <c r="A104" s="82" t="str">
        <f>'Planilha orçamentária'!A92</f>
        <v>5.2.1.1</v>
      </c>
      <c r="B104" s="21">
        <f>'Planilha orçamentária'!B92</f>
        <v>742461</v>
      </c>
      <c r="C104" s="21" t="str">
        <f>'Planilha orçamentária'!C92</f>
        <v>ORSE</v>
      </c>
      <c r="D104" s="21" t="str">
        <f>'Planilha orçamentária'!D92</f>
        <v>Refletor retangular fechado com lampada vapor metalico 400 w</v>
      </c>
      <c r="E104" s="21" t="str">
        <f>'Planilha orçamentária'!E92</f>
        <v>UND</v>
      </c>
      <c r="F104" s="233">
        <f>3*10</f>
        <v>30</v>
      </c>
      <c r="G104" s="388"/>
      <c r="H104" s="388"/>
      <c r="I104" s="389"/>
    </row>
    <row r="105" spans="1:10" s="3" customFormat="1" ht="33.75" x14ac:dyDescent="0.2">
      <c r="A105" s="82" t="str">
        <f>'Planilha orçamentária'!A93</f>
        <v>5.2.1.2</v>
      </c>
      <c r="B105" s="21">
        <f>'Planilha orçamentária'!B93</f>
        <v>7741</v>
      </c>
      <c r="C105" s="21" t="str">
        <f>'Planilha orçamentária'!C93</f>
        <v>ORSE</v>
      </c>
      <c r="D105" s="21" t="str">
        <f>'Planilha orçamentária'!D93</f>
        <v xml:space="preserve">	Poste decorativo em tubo de aço zincado e pintado, com difusor em vidro leitoso brilhante, com 02 pétalas, da lustres projeto, ref. F-5125 ou similar, inclusive lâmpada PL 45w</v>
      </c>
      <c r="E105" s="21" t="str">
        <f>'Planilha orçamentária'!E93</f>
        <v>UND</v>
      </c>
      <c r="F105" s="233">
        <v>6</v>
      </c>
      <c r="G105" s="388"/>
      <c r="H105" s="388"/>
      <c r="I105" s="389"/>
    </row>
    <row r="106" spans="1:10" s="132" customFormat="1" ht="11.25" x14ac:dyDescent="0.2">
      <c r="A106" s="133"/>
      <c r="B106" s="134"/>
      <c r="C106" s="134"/>
      <c r="D106" s="134" t="str">
        <f>'Planilha orçamentária'!D94</f>
        <v>ÁREA ADMINISTRATIVA E DE APOIO (INCLUSIVE VESTIÁRIOS)</v>
      </c>
      <c r="E106" s="134"/>
      <c r="F106" s="135"/>
      <c r="G106" s="136"/>
      <c r="H106" s="137"/>
      <c r="I106" s="138"/>
      <c r="J106" s="311"/>
    </row>
    <row r="107" spans="1:10" s="3" customFormat="1" ht="15" customHeight="1" x14ac:dyDescent="0.2">
      <c r="A107" s="92" t="str">
        <f>'Planilha orçamentária'!A95</f>
        <v>6.1</v>
      </c>
      <c r="B107" s="113"/>
      <c r="C107" s="113"/>
      <c r="D107" s="19" t="str">
        <f>'Planilha orçamentária'!D95</f>
        <v>MOVIMENTO DE TERRA</v>
      </c>
      <c r="E107" s="19"/>
      <c r="F107" s="20"/>
      <c r="G107" s="257" t="s">
        <v>49</v>
      </c>
      <c r="H107" s="258" t="s">
        <v>50</v>
      </c>
      <c r="I107" s="259" t="s">
        <v>52</v>
      </c>
    </row>
    <row r="108" spans="1:10" s="3" customFormat="1" ht="22.5" x14ac:dyDescent="0.2">
      <c r="A108" s="88" t="str">
        <f>'Planilha orçamentária'!A96</f>
        <v>6.1.1</v>
      </c>
      <c r="B108" s="29">
        <f>'Planilha orçamentária'!B96</f>
        <v>93358</v>
      </c>
      <c r="C108" s="29" t="str">
        <f>'Planilha orçamentária'!C96</f>
        <v>SINAPI</v>
      </c>
      <c r="D108" s="29" t="str">
        <f>'Planilha orçamentária'!D96</f>
        <v>ESCAVAÇÃO MANUAL DE VALA COM PROFUNDIDADE MENOR OU IGUAL A 1,30 M. AF_03/2016</v>
      </c>
      <c r="E108" s="29" t="str">
        <f>'Planilha orçamentária'!E96</f>
        <v>m³</v>
      </c>
      <c r="F108" s="26">
        <f>G108*H108*I108</f>
        <v>105.46380000000001</v>
      </c>
      <c r="G108" s="187">
        <v>0.45</v>
      </c>
      <c r="H108" s="24">
        <v>0.4</v>
      </c>
      <c r="I108" s="94">
        <f>95.12+38.85+5.11+22.44+6+1.35+12.22+3+1.85+1.85+1.65*6+4.35+26+3*4.4+5.75*2+66.3+3.76*2+4.15*5+21.65+1.55+1.65*8+6+6.3+10.3*2+19.58*3+4.3*2+6+8*1.65+2*1.85+2.12*2+27.45+4.67+42.7</f>
        <v>585.91</v>
      </c>
    </row>
    <row r="109" spans="1:10" s="3" customFormat="1" ht="15" customHeight="1" x14ac:dyDescent="0.2">
      <c r="A109" s="88" t="str">
        <f>'Planilha orçamentária'!A97</f>
        <v>6.1.2</v>
      </c>
      <c r="B109" s="29">
        <f>'Planilha orçamentária'!B97</f>
        <v>93382</v>
      </c>
      <c r="C109" s="29" t="str">
        <f>'Planilha orçamentária'!C97</f>
        <v>SINAPI</v>
      </c>
      <c r="D109" s="29" t="str">
        <f>'Planilha orçamentária'!D97</f>
        <v>REATERRO MANUAL DE VALAS COM COMPACTAÇÃO MECANIZADA. AF_04/2016</v>
      </c>
      <c r="E109" s="29" t="str">
        <f>'Planilha orçamentária'!E97</f>
        <v>m³</v>
      </c>
      <c r="F109" s="26">
        <f>F108*0.4</f>
        <v>42.185520000000004</v>
      </c>
      <c r="G109" s="366" t="s">
        <v>357</v>
      </c>
      <c r="H109" s="367"/>
      <c r="I109" s="368"/>
    </row>
    <row r="110" spans="1:10" s="3" customFormat="1" ht="15" customHeight="1" x14ac:dyDescent="0.2">
      <c r="A110" s="92" t="str">
        <f>'Planilha orçamentária'!A98</f>
        <v>6.2</v>
      </c>
      <c r="B110" s="113"/>
      <c r="C110" s="113"/>
      <c r="D110" s="19" t="str">
        <f>'Planilha orçamentária'!D98</f>
        <v>FUNDAÇÃO E ESTRUTURA</v>
      </c>
      <c r="E110" s="19"/>
      <c r="F110" s="19"/>
      <c r="G110" s="8"/>
      <c r="H110" s="9"/>
      <c r="I110" s="97"/>
    </row>
    <row r="111" spans="1:10" s="3" customFormat="1" ht="15" customHeight="1" x14ac:dyDescent="0.2">
      <c r="A111" s="92" t="str">
        <f>'Planilha orçamentária'!A99</f>
        <v>6.2.1</v>
      </c>
      <c r="B111" s="113"/>
      <c r="C111" s="113"/>
      <c r="D111" s="19" t="str">
        <f>'Planilha orçamentária'!D99</f>
        <v>FUNDAÇÃO</v>
      </c>
      <c r="E111" s="19"/>
      <c r="F111" s="19"/>
      <c r="G111" s="257" t="s">
        <v>49</v>
      </c>
      <c r="H111" s="258" t="s">
        <v>50</v>
      </c>
      <c r="I111" s="259" t="s">
        <v>52</v>
      </c>
    </row>
    <row r="112" spans="1:10" s="3" customFormat="1" ht="22.5" x14ac:dyDescent="0.2">
      <c r="A112" s="88" t="str">
        <f>'Planilha orçamentária'!A100</f>
        <v>6.2.1.1</v>
      </c>
      <c r="B112" s="29">
        <f>'Planilha orçamentária'!B100</f>
        <v>96617</v>
      </c>
      <c r="C112" s="29" t="str">
        <f>'Planilha orçamentária'!C100</f>
        <v>SINAPI</v>
      </c>
      <c r="D112" s="29" t="str">
        <f>'Planilha orçamentária'!D100</f>
        <v>LASTRO DE CONCRETO MAGRO, APLICADO EM BLOCOS DE COROAMENTO OU SAPATAS, ESPESSURA DE 3 CM. AF_08/2017</v>
      </c>
      <c r="E112" s="29" t="str">
        <f>'Planilha orçamentária'!E100</f>
        <v>m²</v>
      </c>
      <c r="F112" s="267">
        <f>H112*I112</f>
        <v>234.364</v>
      </c>
      <c r="G112" s="186"/>
      <c r="H112" s="156">
        <v>0.4</v>
      </c>
      <c r="I112" s="170">
        <f>I108</f>
        <v>585.91</v>
      </c>
    </row>
    <row r="113" spans="1:9" s="3" customFormat="1" ht="22.5" x14ac:dyDescent="0.2">
      <c r="A113" s="88" t="str">
        <f>'Planilha orçamentária'!A101</f>
        <v>6.2.1.2</v>
      </c>
      <c r="B113" s="29">
        <f>'Planilha orçamentária'!B101</f>
        <v>92873</v>
      </c>
      <c r="C113" s="29" t="str">
        <f>'Planilha orçamentária'!C101</f>
        <v>SINAPI</v>
      </c>
      <c r="D113" s="29" t="str">
        <f>'Planilha orçamentária'!D101</f>
        <v>LANÇAMENTO COM USO DE BALDES, ADENSAMENTO E ACABAMENTO DE CONCRETO EM ESTRUTURAS. AF_12/2015</v>
      </c>
      <c r="E113" s="29" t="str">
        <f>'Planilha orçamentária'!E101</f>
        <v>m³</v>
      </c>
      <c r="F113" s="267">
        <f>G113*H113*I113</f>
        <v>7.0309200000000001</v>
      </c>
      <c r="G113" s="187">
        <v>0.03</v>
      </c>
      <c r="H113" s="24">
        <f>H112</f>
        <v>0.4</v>
      </c>
      <c r="I113" s="94">
        <f>I112</f>
        <v>585.91</v>
      </c>
    </row>
    <row r="114" spans="1:9" s="3" customFormat="1" ht="45" x14ac:dyDescent="0.2">
      <c r="A114" s="88" t="str">
        <f>'Planilha orçamentária'!A102</f>
        <v>6.2.1.3</v>
      </c>
      <c r="B114" s="29">
        <f>'Planilha orçamentária'!B102</f>
        <v>87481</v>
      </c>
      <c r="C114" s="29" t="str">
        <f>'Planilha orçamentária'!C102</f>
        <v>SINAPI</v>
      </c>
      <c r="D114" s="29" t="str">
        <f>'Planilha orçamentária'!D102</f>
        <v>ALVENARIA DE VEDAÇÃO DE BLOCOS CERÂMICOS FURADOS NA VERTICAL DE 19X19X39CM (ESPESSURA 19CM) DE PAREDES COM ÁREA LÍQUIDA MAIOR OU IGUAL A 6M² SEM VÃOS E ARGAMASSA DE ASSENTAMENTO COM PREPARO EM BETONEIRA. AF_06/2014</v>
      </c>
      <c r="E114" s="29" t="str">
        <f>'Planilha orçamentária'!E102</f>
        <v>m²</v>
      </c>
      <c r="F114" s="266">
        <f>G114*I114</f>
        <v>117.182</v>
      </c>
      <c r="G114" s="187">
        <v>0.2</v>
      </c>
      <c r="H114" s="24"/>
      <c r="I114" s="94">
        <f>I113</f>
        <v>585.91</v>
      </c>
    </row>
    <row r="115" spans="1:9" s="3" customFormat="1" x14ac:dyDescent="0.2">
      <c r="A115" s="88"/>
      <c r="B115" s="29"/>
      <c r="C115" s="29"/>
      <c r="D115" s="29"/>
      <c r="E115" s="29"/>
      <c r="F115" s="266"/>
      <c r="G115" s="257"/>
      <c r="H115" s="306" t="s">
        <v>491</v>
      </c>
      <c r="I115" s="259"/>
    </row>
    <row r="116" spans="1:9" s="3" customFormat="1" ht="22.5" x14ac:dyDescent="0.2">
      <c r="A116" s="88" t="str">
        <f>'Planilha orçamentária'!A103</f>
        <v>6.2.1.4</v>
      </c>
      <c r="B116" s="29">
        <f>'Planilha orçamentária'!B103</f>
        <v>6456</v>
      </c>
      <c r="C116" s="29" t="str">
        <f>'Planilha orçamentária'!C103</f>
        <v>ORSE</v>
      </c>
      <c r="D116" s="29" t="str">
        <f>'Planilha orçamentária'!D103</f>
        <v>Concreto Armado fck=21,0MPa, usinado, bombeado, adensado e lançado, para Uso Geral, com formas planas em compensado resinado 12mm (05 usos)</v>
      </c>
      <c r="E116" s="29" t="str">
        <f>'Planilha orçamentária'!E103</f>
        <v>m³</v>
      </c>
      <c r="F116" s="266">
        <f>G116*H116*I116+G118*H118*I118*I117</f>
        <v>17.304200000000002</v>
      </c>
      <c r="G116" s="187">
        <v>0.1</v>
      </c>
      <c r="H116" s="24">
        <v>0.2</v>
      </c>
      <c r="I116" s="94">
        <f>I114</f>
        <v>585.91</v>
      </c>
    </row>
    <row r="117" spans="1:9" s="3" customFormat="1" x14ac:dyDescent="0.2">
      <c r="A117" s="249"/>
      <c r="B117" s="252"/>
      <c r="C117" s="252"/>
      <c r="D117" s="252"/>
      <c r="E117" s="252"/>
      <c r="F117" s="252"/>
      <c r="G117" s="305"/>
      <c r="H117" s="306" t="s">
        <v>492</v>
      </c>
      <c r="I117" s="338">
        <v>19</v>
      </c>
    </row>
    <row r="118" spans="1:9" s="3" customFormat="1" ht="11.25" x14ac:dyDescent="0.2">
      <c r="A118" s="249"/>
      <c r="B118" s="252"/>
      <c r="C118" s="252"/>
      <c r="D118" s="252"/>
      <c r="E118" s="252"/>
      <c r="F118" s="324"/>
      <c r="G118" s="187">
        <v>0.7</v>
      </c>
      <c r="H118" s="24">
        <v>0.7</v>
      </c>
      <c r="I118" s="94">
        <v>0.6</v>
      </c>
    </row>
    <row r="119" spans="1:9" s="3" customFormat="1" ht="15" customHeight="1" x14ac:dyDescent="0.2">
      <c r="A119" s="224" t="str">
        <f>'Planilha orçamentária'!A104</f>
        <v>6.2.2</v>
      </c>
      <c r="B119" s="179"/>
      <c r="C119" s="179"/>
      <c r="D119" s="180" t="str">
        <f>'Planilha orçamentária'!D104</f>
        <v>ESTRUTURA</v>
      </c>
      <c r="E119" s="180"/>
      <c r="F119" s="181"/>
      <c r="G119" s="257"/>
      <c r="H119" s="258" t="s">
        <v>360</v>
      </c>
      <c r="I119" s="259"/>
    </row>
    <row r="120" spans="1:9" s="3" customFormat="1" ht="22.5" x14ac:dyDescent="0.2">
      <c r="A120" s="84" t="str">
        <f>'Planilha orçamentária'!A105</f>
        <v>6.2.2.1</v>
      </c>
      <c r="B120" s="252">
        <f>'Planilha orçamentária'!B105</f>
        <v>6456</v>
      </c>
      <c r="C120" s="202" t="str">
        <f>'Planilha orçamentária'!C105</f>
        <v>ORSE</v>
      </c>
      <c r="D120" s="252" t="str">
        <f>'Planilha orçamentária'!D105</f>
        <v>Concreto Armado fck=21,0MPa, usinado, bombeado, adensado e lançado, para Uso Geral, com formas planas em compensado resinado 12mm (05 usos)</v>
      </c>
      <c r="E120" s="280" t="str">
        <f>'Planilha orçamentária'!E105</f>
        <v>m³</v>
      </c>
      <c r="F120" s="268">
        <f>G121*H121*I121+G122*H122*I122+G123*H123*I123+G126*I126+G129*H129*I129</f>
        <v>113.18610000000001</v>
      </c>
      <c r="G120" s="258" t="s">
        <v>493</v>
      </c>
      <c r="H120" s="258" t="s">
        <v>73</v>
      </c>
      <c r="I120" s="259" t="s">
        <v>494</v>
      </c>
    </row>
    <row r="121" spans="1:9" s="3" customFormat="1" ht="11.25" x14ac:dyDescent="0.2">
      <c r="A121" s="250"/>
      <c r="B121" s="190"/>
      <c r="C121" s="253"/>
      <c r="D121" s="190"/>
      <c r="E121" s="253"/>
      <c r="F121" s="24"/>
      <c r="G121" s="270">
        <f>0.15*0.2</f>
        <v>0.03</v>
      </c>
      <c r="H121" s="271">
        <v>2.6</v>
      </c>
      <c r="I121" s="294">
        <f>16</f>
        <v>16</v>
      </c>
    </row>
    <row r="122" spans="1:9" s="3" customFormat="1" ht="11.25" x14ac:dyDescent="0.2">
      <c r="A122" s="250"/>
      <c r="B122" s="190"/>
      <c r="C122" s="253"/>
      <c r="D122" s="190"/>
      <c r="E122" s="253"/>
      <c r="F122" s="24"/>
      <c r="G122" s="272">
        <f>0.15*0.3</f>
        <v>4.4999999999999998E-2</v>
      </c>
      <c r="H122" s="273">
        <v>2.6</v>
      </c>
      <c r="I122" s="295">
        <f>12</f>
        <v>12</v>
      </c>
    </row>
    <row r="123" spans="1:9" s="3" customFormat="1" ht="11.25" x14ac:dyDescent="0.2">
      <c r="A123" s="250"/>
      <c r="B123" s="190"/>
      <c r="C123" s="253"/>
      <c r="D123" s="190"/>
      <c r="E123" s="253"/>
      <c r="F123" s="24"/>
      <c r="G123" s="323">
        <f>0.1*0.3</f>
        <v>0.03</v>
      </c>
      <c r="H123" s="273">
        <v>3</v>
      </c>
      <c r="I123" s="295">
        <f>42/3</f>
        <v>14</v>
      </c>
    </row>
    <row r="124" spans="1:9" s="3" customFormat="1" x14ac:dyDescent="0.2">
      <c r="A124" s="250"/>
      <c r="B124" s="190"/>
      <c r="C124" s="253"/>
      <c r="D124" s="190"/>
      <c r="E124" s="253"/>
      <c r="F124" s="25"/>
      <c r="G124" s="322"/>
      <c r="H124" s="276" t="s">
        <v>361</v>
      </c>
      <c r="I124" s="274"/>
    </row>
    <row r="125" spans="1:9" s="3" customFormat="1" x14ac:dyDescent="0.2">
      <c r="A125" s="250"/>
      <c r="B125" s="190"/>
      <c r="C125" s="253"/>
      <c r="D125" s="190"/>
      <c r="E125" s="253"/>
      <c r="F125" s="25"/>
      <c r="G125" s="258" t="s">
        <v>49</v>
      </c>
      <c r="H125" s="258"/>
      <c r="I125" s="259" t="s">
        <v>59</v>
      </c>
    </row>
    <row r="126" spans="1:9" s="3" customFormat="1" ht="11.25" x14ac:dyDescent="0.2">
      <c r="A126" s="250"/>
      <c r="B126" s="190"/>
      <c r="C126" s="253"/>
      <c r="D126" s="190"/>
      <c r="E126" s="253"/>
      <c r="F126" s="25"/>
      <c r="G126" s="271">
        <v>0.15</v>
      </c>
      <c r="H126" s="271"/>
      <c r="I126" s="294">
        <f>437.59-55.33+145.87-25+59.71+16.66+9.56+6.3*2</f>
        <v>601.66</v>
      </c>
    </row>
    <row r="127" spans="1:9" s="3" customFormat="1" x14ac:dyDescent="0.2">
      <c r="A127" s="250"/>
      <c r="B127" s="190"/>
      <c r="C127" s="253"/>
      <c r="D127" s="190"/>
      <c r="E127" s="253"/>
      <c r="F127" s="25"/>
      <c r="G127" s="258"/>
      <c r="H127" s="258" t="s">
        <v>362</v>
      </c>
      <c r="I127" s="274"/>
    </row>
    <row r="128" spans="1:9" s="3" customFormat="1" x14ac:dyDescent="0.2">
      <c r="A128" s="250"/>
      <c r="B128" s="190"/>
      <c r="C128" s="253"/>
      <c r="D128" s="190"/>
      <c r="E128" s="253"/>
      <c r="F128" s="25"/>
      <c r="G128" s="275" t="s">
        <v>49</v>
      </c>
      <c r="H128" s="276" t="s">
        <v>50</v>
      </c>
      <c r="I128" s="274" t="s">
        <v>52</v>
      </c>
    </row>
    <row r="129" spans="1:10" s="3" customFormat="1" ht="11.25" x14ac:dyDescent="0.2">
      <c r="A129" s="251"/>
      <c r="B129" s="193"/>
      <c r="C129" s="254"/>
      <c r="D129" s="193"/>
      <c r="E129" s="254"/>
      <c r="F129" s="269"/>
      <c r="G129" s="273">
        <v>0.3</v>
      </c>
      <c r="H129" s="273">
        <v>0.15</v>
      </c>
      <c r="I129" s="94">
        <f>95.12+38.85+5.11+22.44+6+1.35+12.22+3+3*4.4+5.75*2+66.3+3.76*2+4.15*5+21.65+1.55+6+6.3+10.3*2+19.58*3+4.3*2+6+2.12*2-14.26</f>
        <v>422.78000000000003</v>
      </c>
    </row>
    <row r="130" spans="1:10" s="3" customFormat="1" ht="15" customHeight="1" x14ac:dyDescent="0.2">
      <c r="A130" s="197" t="str">
        <f>'Planilha orçamentária'!A106</f>
        <v>6.3</v>
      </c>
      <c r="B130" s="282"/>
      <c r="C130" s="198"/>
      <c r="D130" s="283" t="str">
        <f>'Planilha orçamentária'!D106</f>
        <v>ALVENARIA - VEDAÇÃO</v>
      </c>
      <c r="E130" s="199"/>
      <c r="F130" s="201"/>
      <c r="G130" s="275" t="s">
        <v>363</v>
      </c>
      <c r="H130" s="276" t="s">
        <v>49</v>
      </c>
      <c r="I130" s="274" t="s">
        <v>52</v>
      </c>
      <c r="J130" s="14"/>
    </row>
    <row r="131" spans="1:10" s="3" customFormat="1" ht="33.75" x14ac:dyDescent="0.2">
      <c r="A131" s="218" t="str">
        <f>'Planilha orçamentária'!A107</f>
        <v>6.3.1</v>
      </c>
      <c r="B131" s="252" t="str">
        <f>'Planilha orçamentária'!B107</f>
        <v>89168</v>
      </c>
      <c r="C131" s="202" t="str">
        <f>'Planilha orçamentária'!C107</f>
        <v>SINAPI</v>
      </c>
      <c r="D131" s="252" t="str">
        <f>'Planilha orçamentária'!D107</f>
        <v>(COMPOSIÇÃO REPRESENTATIVA) DO SERVIÇO DE ALVENARIA DE VEDAÇÃO DE BLOCOS VAZADOS DE CERÂMICA DE 9X19X19CM (ESPESSURA 9CM), PARA EDIFICAÇÃO HABITACIONAL UNIFAMILIAR (CASA) E EDIFICAÇÃO PÚBLICA PADRÃO. AF_11/2014</v>
      </c>
      <c r="E131" s="202" t="str">
        <f>'Planilha orçamentária'!E107</f>
        <v>m²</v>
      </c>
      <c r="F131" s="255">
        <f>H131*I131+H132*I132+H134*I134+H135*I135+H133*I133-G131-G132</f>
        <v>1161.9829999999999</v>
      </c>
      <c r="G131" s="281">
        <f>2*(4*2.1-2)+(1.25*2-2)</f>
        <v>13.3</v>
      </c>
      <c r="H131" s="281">
        <v>2.6</v>
      </c>
      <c r="I131" s="94">
        <f>4*11.07+9+2*12.41+39+1.2+26.95*3+4.4+4*10.2+8*3+19.58+4.81+2*2.12+3.76+10.3*2</f>
        <v>321.33999999999997</v>
      </c>
    </row>
    <row r="132" spans="1:10" s="3" customFormat="1" ht="11.25" x14ac:dyDescent="0.2">
      <c r="A132" s="228"/>
      <c r="B132" s="253"/>
      <c r="C132" s="190"/>
      <c r="D132" s="253"/>
      <c r="E132" s="190"/>
      <c r="F132" s="221"/>
      <c r="G132" s="281">
        <f>2*2-2</f>
        <v>2</v>
      </c>
      <c r="H132" s="281">
        <v>3</v>
      </c>
      <c r="I132" s="94">
        <f>4.67+41.86+1.5+4.17</f>
        <v>52.2</v>
      </c>
    </row>
    <row r="133" spans="1:10" s="3" customFormat="1" ht="11.25" x14ac:dyDescent="0.2">
      <c r="A133" s="228"/>
      <c r="B133" s="253"/>
      <c r="C133" s="190"/>
      <c r="D133" s="253"/>
      <c r="E133" s="190"/>
      <c r="F133" s="221"/>
      <c r="G133" s="281"/>
      <c r="H133" s="281">
        <v>0.3</v>
      </c>
      <c r="I133" s="94">
        <f>42.7+24.7-5</f>
        <v>62.400000000000006</v>
      </c>
    </row>
    <row r="134" spans="1:10" s="3" customFormat="1" ht="11.25" x14ac:dyDescent="0.2">
      <c r="A134" s="228"/>
      <c r="B134" s="253"/>
      <c r="C134" s="190"/>
      <c r="D134" s="253"/>
      <c r="E134" s="190"/>
      <c r="F134" s="221"/>
      <c r="G134" s="281"/>
      <c r="H134" s="281">
        <v>1.1499999999999999</v>
      </c>
      <c r="I134" s="94">
        <f>90.62+2*11.07+1.85*2</f>
        <v>116.46000000000001</v>
      </c>
    </row>
    <row r="135" spans="1:10" s="3" customFormat="1" ht="11.25" x14ac:dyDescent="0.2">
      <c r="A135" s="296"/>
      <c r="B135" s="254"/>
      <c r="C135" s="193"/>
      <c r="D135" s="254"/>
      <c r="E135" s="193"/>
      <c r="F135" s="256"/>
      <c r="G135" s="281"/>
      <c r="H135" s="281">
        <v>0.75</v>
      </c>
      <c r="I135" s="94">
        <f>2*19.58+2*2.12</f>
        <v>43.4</v>
      </c>
    </row>
    <row r="136" spans="1:10" s="3" customFormat="1" ht="33.75" x14ac:dyDescent="0.2">
      <c r="A136" s="251" t="str">
        <f>'Planilha orçamentária'!A108</f>
        <v>6.3.2</v>
      </c>
      <c r="B136" s="254" t="str">
        <f>'Planilha orçamentária'!B108</f>
        <v>87879</v>
      </c>
      <c r="C136" s="254" t="str">
        <f>'Planilha orçamentária'!C108</f>
        <v>SINAPI</v>
      </c>
      <c r="D136" s="254" t="str">
        <f>'Planilha orçamentária'!D108</f>
        <v>CHAPISCO APLICADO EM ALVENARIAS E ESTRUTURAS DE CONCRETO INTERNAS, COM COLHER DE PEDREIRO.  ARGAMASSA TRAÇO 1:3 COM PREPARO EM BETONEIRA 400L. AF_06/2014</v>
      </c>
      <c r="E136" s="254" t="str">
        <f>'Planilha orçamentária'!E108</f>
        <v>m²</v>
      </c>
      <c r="F136" s="256">
        <f>F131*2</f>
        <v>2323.9659999999999</v>
      </c>
      <c r="G136" s="281"/>
      <c r="H136" s="281"/>
      <c r="I136" s="94"/>
    </row>
    <row r="137" spans="1:10" s="3" customFormat="1" ht="33.75" x14ac:dyDescent="0.2">
      <c r="A137" s="251" t="str">
        <f>'Planilha orçamentária'!A109</f>
        <v>6.3.3</v>
      </c>
      <c r="B137" s="254">
        <f>'Planilha orçamentária'!B109</f>
        <v>87775</v>
      </c>
      <c r="C137" s="254" t="str">
        <f>'Planilha orçamentária'!C109</f>
        <v>SINAPI</v>
      </c>
      <c r="D137" s="254" t="str">
        <f>'Planilha orçamentária'!D109</f>
        <v>EMBOÇO OU MASSA ÚNICA EM ARGAMASSA TRAÇO 1:2:8, PREPARO MECÂNICO COM BETONEIRA 400 L, APLICADA MANUALMENTE EM PANOS DE FACHADA COM PRESENÇA
DE VÃOS, ESPESSURA DE 25 MM. AF_06/2014</v>
      </c>
      <c r="E137" s="254" t="str">
        <f>'Planilha orçamentária'!E109</f>
        <v>m²</v>
      </c>
      <c r="F137" s="256">
        <f>F131*2</f>
        <v>2323.9659999999999</v>
      </c>
      <c r="G137" s="281"/>
      <c r="H137" s="281"/>
      <c r="I137" s="94"/>
    </row>
    <row r="138" spans="1:10" s="3" customFormat="1" ht="15" customHeight="1" x14ac:dyDescent="0.2">
      <c r="A138" s="223" t="str">
        <f>'Planilha orçamentária'!A110</f>
        <v>6.4</v>
      </c>
      <c r="B138" s="152"/>
      <c r="C138" s="152"/>
      <c r="D138" s="153" t="str">
        <f>'Planilha orçamentária'!D110</f>
        <v>IMPERMEABILIZAÇÃO</v>
      </c>
      <c r="E138" s="153"/>
      <c r="F138" s="154"/>
      <c r="G138" s="5" t="s">
        <v>49</v>
      </c>
      <c r="H138" s="6" t="s">
        <v>50</v>
      </c>
      <c r="I138" s="93" t="s">
        <v>52</v>
      </c>
    </row>
    <row r="139" spans="1:10" s="3" customFormat="1" ht="22.5" customHeight="1" x14ac:dyDescent="0.2">
      <c r="A139" s="88" t="str">
        <f>'Planilha orçamentária'!A111</f>
        <v>6.4.1</v>
      </c>
      <c r="B139" s="29" t="str">
        <f>'Planilha orçamentária'!B111</f>
        <v>74106/001</v>
      </c>
      <c r="C139" s="29" t="str">
        <f>'Planilha orçamentária'!C111</f>
        <v>SINAPI</v>
      </c>
      <c r="D139" s="29" t="str">
        <f>'Planilha orçamentária'!D111</f>
        <v>IMPERMEABILIZACAO DE ESTRUTURAS ENTERRADAS, COM TINTA ASFALTICA, DUAS DEMAOS.</v>
      </c>
      <c r="E139" s="29" t="str">
        <f>'Planilha orçamentária'!E111</f>
        <v>m²</v>
      </c>
      <c r="F139" s="266">
        <f>H139*I139</f>
        <v>117.182</v>
      </c>
      <c r="G139" s="266"/>
      <c r="H139" s="27">
        <f>H116</f>
        <v>0.2</v>
      </c>
      <c r="I139" s="95">
        <f>I116</f>
        <v>585.91</v>
      </c>
      <c r="J139" s="14"/>
    </row>
    <row r="140" spans="1:10" s="3" customFormat="1" ht="15" customHeight="1" x14ac:dyDescent="0.2">
      <c r="A140" s="223" t="str">
        <f>'Planilha orçamentária'!A112</f>
        <v>6.4</v>
      </c>
      <c r="B140" s="152"/>
      <c r="C140" s="152"/>
      <c r="D140" s="153" t="str">
        <f>'Planilha orçamentária'!D112</f>
        <v>COBERTURA</v>
      </c>
      <c r="E140" s="153"/>
      <c r="F140" s="154"/>
      <c r="G140" s="308"/>
      <c r="H140" s="309"/>
      <c r="I140" s="310" t="s">
        <v>59</v>
      </c>
    </row>
    <row r="141" spans="1:10" s="3" customFormat="1" ht="22.5" customHeight="1" x14ac:dyDescent="0.2">
      <c r="A141" s="88" t="str">
        <f>'Planilha orçamentária'!A113</f>
        <v>6.4.1</v>
      </c>
      <c r="B141" s="29">
        <f>'Planilha orçamentária'!B113</f>
        <v>94210</v>
      </c>
      <c r="C141" s="29" t="str">
        <f>'Planilha orçamentária'!C113</f>
        <v>SINAPI</v>
      </c>
      <c r="D141" s="29" t="str">
        <f>'Planilha orçamentária'!D113</f>
        <v>TELHAMENTO COM TELHA ONDULADA DE FIBROCIMENTO E = 6 MM, COM RECOBRIMENTO LATERAL DE 1 1/4 DE ONDA PARA TELHADO COM INCLINAÇÃO MÁXIMA DE 10°, COM ATÉ 2 ÁGUAS, INCLUSO IÇAMENTO. AF_07/2019</v>
      </c>
      <c r="E141" s="29" t="str">
        <f>'Planilha orçamentária'!E113</f>
        <v>m²</v>
      </c>
      <c r="F141" s="266">
        <f>I141</f>
        <v>590.80999999999995</v>
      </c>
      <c r="G141" s="330"/>
      <c r="H141" s="331"/>
      <c r="I141" s="332">
        <f>72+278.67+240.14</f>
        <v>590.80999999999995</v>
      </c>
      <c r="J141" s="14"/>
    </row>
    <row r="142" spans="1:10" s="3" customFormat="1" ht="22.5" customHeight="1" x14ac:dyDescent="0.2">
      <c r="A142" s="88"/>
      <c r="B142" s="29">
        <f>'Planilha orçamentária'!B114</f>
        <v>92543</v>
      </c>
      <c r="C142" s="29" t="str">
        <f>'Planilha orçamentária'!C114</f>
        <v>SINAPI</v>
      </c>
      <c r="D142" s="29" t="str">
        <f>'Planilha orçamentária'!D114</f>
        <v>TRAMA DE MADEIRA COMPOSTA POR TERÇAS PARA TELHADOS DE ATÉ 2 ÁGUAS PARA TELHA ONDULADA DE FIBROCIMENTO, METÁLICA, PLÁSTICA OU TERMOACÚSTICA, INCLUSO TRANSPORTE VERTICAL. AF_07/2019</v>
      </c>
      <c r="E142" s="29" t="str">
        <f>'Planilha orçamentária'!E114</f>
        <v>m²</v>
      </c>
      <c r="F142" s="266">
        <f>I142</f>
        <v>590.80999999999995</v>
      </c>
      <c r="G142" s="325"/>
      <c r="H142" s="326"/>
      <c r="I142" s="333">
        <v>590.80999999999995</v>
      </c>
      <c r="J142" s="14"/>
    </row>
    <row r="143" spans="1:10" s="3" customFormat="1" ht="15" customHeight="1" x14ac:dyDescent="0.2">
      <c r="A143" s="96" t="str">
        <f>'Planilha orçamentária'!A115</f>
        <v>6.5</v>
      </c>
      <c r="B143" s="113"/>
      <c r="C143" s="113"/>
      <c r="D143" s="19" t="str">
        <f>'Planilha orçamentária'!D115</f>
        <v>REVESTIMENTO - PISOS, PAREDES E TETOS</v>
      </c>
      <c r="E143" s="19"/>
      <c r="F143" s="20"/>
      <c r="G143" s="327"/>
      <c r="H143" s="328"/>
      <c r="I143" s="329"/>
    </row>
    <row r="144" spans="1:10" s="3" customFormat="1" ht="24.75" customHeight="1" x14ac:dyDescent="0.2">
      <c r="A144" s="96" t="str">
        <f>'Planilha orçamentária'!A116</f>
        <v>6.5.1</v>
      </c>
      <c r="B144" s="113"/>
      <c r="C144" s="113"/>
      <c r="D144" s="19" t="str">
        <f>'Planilha orçamentária'!D116</f>
        <v>PISO</v>
      </c>
      <c r="E144" s="19"/>
      <c r="F144" s="20"/>
      <c r="G144" s="396" t="s">
        <v>58</v>
      </c>
      <c r="H144" s="397"/>
      <c r="I144" s="398"/>
      <c r="J144" s="14"/>
    </row>
    <row r="145" spans="1:10" s="3" customFormat="1" ht="33.75" x14ac:dyDescent="0.2">
      <c r="A145" s="249" t="str">
        <f>'Planilha orçamentária'!A117</f>
        <v>6.5.1.1</v>
      </c>
      <c r="B145" s="252" t="str">
        <f>'Planilha orçamentária'!B117</f>
        <v>90950</v>
      </c>
      <c r="C145" s="252" t="str">
        <f>'Planilha orçamentária'!C117</f>
        <v>SINAPI</v>
      </c>
      <c r="D145" s="252" t="str">
        <f>'Planilha orçamentária'!D117</f>
        <v>CONTRAPISO ACÚSTICO EM ARGAMASSA TRAÇO 1:4 (CIMENTO E AREIA), PREPARO MECÂNICO COM BETONEIRA 400L, APLICADO EM ÁREAS SECAS MAIORES QUE 15M2, ESPESSURA 7CM. AF_10/2014</v>
      </c>
      <c r="E145" s="252" t="str">
        <f>'Planilha orçamentária'!E117</f>
        <v>m²</v>
      </c>
      <c r="F145" s="255">
        <f>I126</f>
        <v>601.66</v>
      </c>
      <c r="G145" s="366" t="s">
        <v>366</v>
      </c>
      <c r="H145" s="367"/>
      <c r="I145" s="368"/>
      <c r="J145" s="75"/>
    </row>
    <row r="146" spans="1:10" s="3" customFormat="1" ht="22.5" x14ac:dyDescent="0.2">
      <c r="A146" s="249" t="str">
        <f>'Planilha orçamentária'!A118</f>
        <v>6.5.1.2</v>
      </c>
      <c r="B146" s="252">
        <f>'Planilha orçamentária'!B118</f>
        <v>84191</v>
      </c>
      <c r="C146" s="252" t="str">
        <f>'Planilha orçamentária'!C118</f>
        <v>SINAPI</v>
      </c>
      <c r="D146" s="252" t="str">
        <f>'Planilha orçamentária'!D118</f>
        <v>PISO EM GRANILITE, MARMORITE OU GRANITINA ESPESSURA 8 MM, INCLUSO JUNTAS DE DILATACAO PLASTICAS</v>
      </c>
      <c r="E146" s="252" t="str">
        <f>'Planilha orçamentária'!E118</f>
        <v>m²</v>
      </c>
      <c r="F146" s="26">
        <f>F145</f>
        <v>601.66</v>
      </c>
      <c r="G146" s="369"/>
      <c r="H146" s="370"/>
      <c r="I146" s="371"/>
      <c r="J146" s="14"/>
    </row>
    <row r="147" spans="1:10" s="3" customFormat="1" ht="15" customHeight="1" x14ac:dyDescent="0.2">
      <c r="A147" s="188" t="str">
        <f>'Planilha orçamentária'!A119</f>
        <v>6.5.2</v>
      </c>
      <c r="B147" s="179"/>
      <c r="C147" s="179"/>
      <c r="D147" s="180" t="str">
        <f>'Planilha orçamentária'!D119</f>
        <v>REVESTIMENTO INTERNO DE PAREDE</v>
      </c>
      <c r="E147" s="180"/>
      <c r="F147" s="181"/>
      <c r="G147" s="5" t="s">
        <v>367</v>
      </c>
      <c r="H147" s="6" t="s">
        <v>49</v>
      </c>
      <c r="I147" s="93" t="s">
        <v>52</v>
      </c>
    </row>
    <row r="148" spans="1:10" s="3" customFormat="1" ht="33.75" x14ac:dyDescent="0.2">
      <c r="A148" s="249" t="str">
        <f>'Planilha orçamentária'!A120</f>
        <v>6.5.2.1</v>
      </c>
      <c r="B148" s="202">
        <f>'Planilha orçamentária'!B120</f>
        <v>87269</v>
      </c>
      <c r="C148" s="252" t="str">
        <f>'Planilha orçamentária'!C120</f>
        <v>SINAPI</v>
      </c>
      <c r="D148" s="202" t="str">
        <f>'Planilha orçamentária'!D120</f>
        <v>REVESTIMENTO CERÂMICO PARA PAREDES INTERNAS COM PLACAS TIPO ESMALTADA EXTRA DE DIMENSÕES 25X35 CM APLICADAS EM AMBIENTES DE ÁREA MAIOR QUE 5
M² NA ALTURA INTEIRA DAS PAREDES. AF_06/2014</v>
      </c>
      <c r="E148" s="252" t="str">
        <f>'Planilha orçamentária'!E120</f>
        <v>m²</v>
      </c>
      <c r="F148" s="268">
        <f>G148*H148*I148+(H150*I150-G150)</f>
        <v>705.46</v>
      </c>
      <c r="G148" s="284">
        <v>2</v>
      </c>
      <c r="H148" s="284">
        <v>2</v>
      </c>
      <c r="I148" s="297">
        <f>3*(8*1.65+2*1.85)+3.15*2*2+3*2*2+1.15*4</f>
        <v>79.899999999999991</v>
      </c>
      <c r="J148" s="14"/>
    </row>
    <row r="149" spans="1:10" s="3" customFormat="1" x14ac:dyDescent="0.2">
      <c r="A149" s="250"/>
      <c r="B149" s="190"/>
      <c r="C149" s="253"/>
      <c r="D149" s="190"/>
      <c r="E149" s="253"/>
      <c r="F149" s="25"/>
      <c r="G149" s="6" t="s">
        <v>363</v>
      </c>
      <c r="H149" s="6" t="s">
        <v>49</v>
      </c>
      <c r="I149" s="93" t="s">
        <v>52</v>
      </c>
      <c r="J149" s="14"/>
    </row>
    <row r="150" spans="1:10" s="3" customFormat="1" ht="11.25" x14ac:dyDescent="0.2">
      <c r="A150" s="251"/>
      <c r="B150" s="193"/>
      <c r="C150" s="254"/>
      <c r="D150" s="193"/>
      <c r="E150" s="254"/>
      <c r="F150" s="269"/>
      <c r="G150" s="163">
        <f>(2*1.25-2)</f>
        <v>0.5</v>
      </c>
      <c r="H150" s="163">
        <v>2.6</v>
      </c>
      <c r="I150" s="174">
        <f>22.5*4+16.92+16.92+14.26+5.4+5.1</f>
        <v>148.6</v>
      </c>
    </row>
    <row r="151" spans="1:10" s="3" customFormat="1" x14ac:dyDescent="0.2">
      <c r="A151" s="251"/>
      <c r="B151" s="254"/>
      <c r="C151" s="254"/>
      <c r="D151" s="254"/>
      <c r="E151" s="254"/>
      <c r="F151" s="187"/>
      <c r="G151" s="5" t="s">
        <v>363</v>
      </c>
      <c r="H151" s="6" t="s">
        <v>49</v>
      </c>
      <c r="I151" s="93" t="s">
        <v>52</v>
      </c>
    </row>
    <row r="152" spans="1:10" s="3" customFormat="1" ht="11.25" x14ac:dyDescent="0.2">
      <c r="A152" s="88" t="str">
        <f>'Planilha orçamentária'!A121</f>
        <v>6.5.2.2</v>
      </c>
      <c r="B152" s="29">
        <f>'Planilha orçamentária'!B121</f>
        <v>88497</v>
      </c>
      <c r="C152" s="29" t="str">
        <f>'Planilha orçamentária'!C121</f>
        <v>SINAPI</v>
      </c>
      <c r="D152" s="29" t="str">
        <f>'Planilha orçamentária'!D121</f>
        <v>APLICAÇÃO E LIXAMENTO DE MASSA LÁTEX EM PAREDES, DUAS DEMÃOS. AF_06/2014</v>
      </c>
      <c r="E152" s="29" t="str">
        <f>'Planilha orçamentária'!E121</f>
        <v>m²</v>
      </c>
      <c r="F152" s="186">
        <f>H152*I152-G152</f>
        <v>555.84</v>
      </c>
      <c r="G152" s="187">
        <f>2*(4*2.1-2)+(2*1.25-2)</f>
        <v>13.3</v>
      </c>
      <c r="H152" s="24">
        <v>2.6</v>
      </c>
      <c r="I152" s="94">
        <f>11.65+13.25+17.92+28+28+31.5+14.9+18.3+2.82+34.36+9.1*2</f>
        <v>218.89999999999998</v>
      </c>
    </row>
    <row r="153" spans="1:10" s="3" customFormat="1" ht="22.5" x14ac:dyDescent="0.2">
      <c r="A153" s="88" t="str">
        <f>'Planilha orçamentária'!A122</f>
        <v>6.5.2.3</v>
      </c>
      <c r="B153" s="29" t="str">
        <f>'Planilha orçamentária'!B122</f>
        <v>88489</v>
      </c>
      <c r="C153" s="29" t="str">
        <f>'Planilha orçamentária'!C122</f>
        <v>SINAPI</v>
      </c>
      <c r="D153" s="29" t="str">
        <f>'Planilha orçamentária'!D122</f>
        <v>APLICAÇÃO MANUAL DE PINTURA COM TINTA LÁTEX ACRÍLICA EM PAREDES, DUAS DEMÃOS. AF_06/2014</v>
      </c>
      <c r="E153" s="29" t="str">
        <f>'Planilha orçamentária'!E122</f>
        <v>m²</v>
      </c>
      <c r="F153" s="186">
        <f>F152</f>
        <v>555.84</v>
      </c>
      <c r="G153" s="266"/>
      <c r="H153" s="27"/>
      <c r="I153" s="95"/>
    </row>
    <row r="154" spans="1:10" s="3" customFormat="1" ht="15" customHeight="1" x14ac:dyDescent="0.2">
      <c r="A154" s="224" t="str">
        <f>'Planilha orçamentária'!A123</f>
        <v>6.5.3</v>
      </c>
      <c r="B154" s="179"/>
      <c r="C154" s="179"/>
      <c r="D154" s="180" t="str">
        <f>'Planilha orçamentária'!D123</f>
        <v>REVESTIMENTO EXTERNO DE PAREDE</v>
      </c>
      <c r="E154" s="180"/>
      <c r="F154" s="181"/>
      <c r="G154" s="5" t="s">
        <v>363</v>
      </c>
      <c r="H154" s="6" t="s">
        <v>49</v>
      </c>
      <c r="I154" s="93" t="s">
        <v>52</v>
      </c>
    </row>
    <row r="155" spans="1:10" s="3" customFormat="1" ht="22.5" x14ac:dyDescent="0.2">
      <c r="A155" s="175" t="str">
        <f>'Planilha orçamentária'!A124</f>
        <v>6.5.3.1</v>
      </c>
      <c r="B155" s="35" t="str">
        <f>'Planilha orçamentária'!B124</f>
        <v>88431</v>
      </c>
      <c r="C155" s="165" t="str">
        <f>'Planilha orçamentária'!C124</f>
        <v>SINAPI</v>
      </c>
      <c r="D155" s="35" t="str">
        <f>'Planilha orçamentária'!D124</f>
        <v>APLICAÇÃO MANUAL DE PINTURA COM TINTA TEXTURIZADA ACRÍLICA EM PAREDES EXTERNAS DE CASAS, DUAS CORES. AF_06/2014</v>
      </c>
      <c r="E155" s="165" t="str">
        <f>'Planilha orçamentária'!E124</f>
        <v>m²</v>
      </c>
      <c r="F155" s="160">
        <f>(H156*I156+H157*I157+H158*I158+H159*I159)*2+(I155*H155-G155)</f>
        <v>1121.896</v>
      </c>
      <c r="G155" s="281">
        <f>(1.5*2.1-2)+(4*2.1-2)</f>
        <v>7.5500000000000007</v>
      </c>
      <c r="H155" s="24">
        <v>2.6</v>
      </c>
      <c r="I155" s="94">
        <f>10.3*2+19.58*2+4.81*2+4*3.33+2*2.12+14.11+10.2+42.87+14.26+1.55*2</f>
        <v>171.47999999999996</v>
      </c>
    </row>
    <row r="156" spans="1:10" s="3" customFormat="1" ht="11.25" x14ac:dyDescent="0.2">
      <c r="A156" s="217"/>
      <c r="B156" s="200"/>
      <c r="C156" s="189"/>
      <c r="D156" s="200"/>
      <c r="E156" s="189"/>
      <c r="F156" s="285"/>
      <c r="G156" s="281" t="s">
        <v>364</v>
      </c>
      <c r="H156" s="24">
        <v>3</v>
      </c>
      <c r="I156" s="94">
        <f>I132</f>
        <v>52.2</v>
      </c>
    </row>
    <row r="157" spans="1:10" s="3" customFormat="1" ht="11.25" x14ac:dyDescent="0.2">
      <c r="A157" s="217"/>
      <c r="B157" s="200"/>
      <c r="C157" s="189"/>
      <c r="D157" s="200"/>
      <c r="E157" s="189"/>
      <c r="F157" s="285"/>
      <c r="G157" s="281" t="s">
        <v>364</v>
      </c>
      <c r="H157" s="24">
        <v>0.3</v>
      </c>
      <c r="I157" s="94">
        <f>I133</f>
        <v>62.400000000000006</v>
      </c>
    </row>
    <row r="158" spans="1:10" s="3" customFormat="1" ht="11.25" x14ac:dyDescent="0.2">
      <c r="A158" s="217"/>
      <c r="B158" s="200"/>
      <c r="C158" s="189"/>
      <c r="D158" s="200"/>
      <c r="E158" s="189"/>
      <c r="F158" s="285"/>
      <c r="G158" s="281" t="s">
        <v>365</v>
      </c>
      <c r="H158" s="24">
        <v>1.1499999999999999</v>
      </c>
      <c r="I158" s="94">
        <f>I134</f>
        <v>116.46000000000001</v>
      </c>
    </row>
    <row r="159" spans="1:10" s="3" customFormat="1" ht="11.25" x14ac:dyDescent="0.2">
      <c r="A159" s="176"/>
      <c r="B159" s="155"/>
      <c r="C159" s="166"/>
      <c r="D159" s="155"/>
      <c r="E159" s="166"/>
      <c r="F159" s="161"/>
      <c r="G159" s="281" t="s">
        <v>365</v>
      </c>
      <c r="H159" s="24">
        <v>0.75</v>
      </c>
      <c r="I159" s="94">
        <f>I135</f>
        <v>43.4</v>
      </c>
    </row>
    <row r="160" spans="1:10" s="3" customFormat="1" ht="15" customHeight="1" x14ac:dyDescent="0.2">
      <c r="A160" s="151" t="str">
        <f>'Planilha orçamentária'!A125</f>
        <v>6.5.4</v>
      </c>
      <c r="B160" s="152"/>
      <c r="C160" s="152"/>
      <c r="D160" s="153" t="str">
        <f>'Planilha orçamentária'!D125</f>
        <v>TETO</v>
      </c>
      <c r="E160" s="153"/>
      <c r="F160" s="154"/>
      <c r="G160" s="10"/>
      <c r="H160" s="11"/>
      <c r="I160" s="99"/>
    </row>
    <row r="161" spans="1:10" s="3" customFormat="1" ht="15" customHeight="1" x14ac:dyDescent="0.2">
      <c r="A161" s="88" t="str">
        <f>'Planilha orçamentária'!A126</f>
        <v>6.5.4.1</v>
      </c>
      <c r="B161" s="29" t="str">
        <f>'Planilha orçamentária'!B126</f>
        <v>88496</v>
      </c>
      <c r="C161" s="29" t="str">
        <f>'Planilha orçamentária'!C126</f>
        <v>SINAPI</v>
      </c>
      <c r="D161" s="29" t="str">
        <f>'Planilha orçamentária'!D126</f>
        <v>APLICAÇÃO E LIXAMENTO DE MASSA LÁTEX EM TETO, DUAS DEMÃOS. AF_06/2014</v>
      </c>
      <c r="E161" s="29" t="str">
        <f>'Planilha orçamentária'!E126</f>
        <v>m²</v>
      </c>
      <c r="F161" s="25">
        <f>F146</f>
        <v>601.66</v>
      </c>
      <c r="G161" s="372" t="s">
        <v>366</v>
      </c>
      <c r="H161" s="373"/>
      <c r="I161" s="374"/>
    </row>
    <row r="162" spans="1:10" s="3" customFormat="1" ht="22.5" x14ac:dyDescent="0.2">
      <c r="A162" s="88" t="str">
        <f>'Planilha orçamentária'!A127</f>
        <v>6.5.4.2</v>
      </c>
      <c r="B162" s="29" t="str">
        <f>'Planilha orçamentária'!B127</f>
        <v>88488</v>
      </c>
      <c r="C162" s="29" t="str">
        <f>'Planilha orçamentária'!C127</f>
        <v>SINAPI</v>
      </c>
      <c r="D162" s="29" t="str">
        <f>'Planilha orçamentária'!D127</f>
        <v>APLICAÇÃO MANUAL DE PINTURA COM TINTA LÁTEX ACRÍLICA EM TETO, DUAS DEMÃOS. AF_06/2014</v>
      </c>
      <c r="E162" s="29" t="str">
        <f>'Planilha orçamentária'!E127</f>
        <v>m²</v>
      </c>
      <c r="F162" s="23">
        <f>F161</f>
        <v>601.66</v>
      </c>
      <c r="G162" s="375"/>
      <c r="H162" s="376"/>
      <c r="I162" s="377"/>
    </row>
    <row r="163" spans="1:10" s="3" customFormat="1" ht="15" customHeight="1" x14ac:dyDescent="0.2">
      <c r="A163" s="96" t="str">
        <f>'Planilha orçamentária'!A128</f>
        <v>6.6</v>
      </c>
      <c r="B163" s="113"/>
      <c r="C163" s="113"/>
      <c r="D163" s="19" t="str">
        <f>'Planilha orçamentária'!D128</f>
        <v>ESQUADRIAS</v>
      </c>
      <c r="E163" s="19"/>
      <c r="F163" s="19"/>
      <c r="G163" s="431"/>
      <c r="H163" s="432"/>
      <c r="I163" s="433"/>
    </row>
    <row r="164" spans="1:10" s="3" customFormat="1" ht="15" customHeight="1" x14ac:dyDescent="0.2">
      <c r="A164" s="92" t="str">
        <f>'Planilha orçamentária'!A129</f>
        <v>6.6.1</v>
      </c>
      <c r="B164" s="113"/>
      <c r="C164" s="235"/>
      <c r="D164" s="19" t="str">
        <f>'Planilha orçamentária'!D129</f>
        <v>MADEIRA</v>
      </c>
      <c r="E164" s="19"/>
      <c r="F164" s="19"/>
      <c r="G164" s="431"/>
      <c r="H164" s="432"/>
      <c r="I164" s="433"/>
    </row>
    <row r="165" spans="1:10" s="3" customFormat="1" ht="45" x14ac:dyDescent="0.2">
      <c r="A165" s="82" t="str">
        <f>'Planilha orçamentária'!A130</f>
        <v>6.6.1.1</v>
      </c>
      <c r="B165" s="21">
        <f>'Planilha orçamentária'!B130</f>
        <v>91313</v>
      </c>
      <c r="C165" s="21" t="str">
        <f>'Planilha orçamentária'!C130</f>
        <v>SINAPI</v>
      </c>
      <c r="D165" s="21" t="str">
        <f>'Planilha orçamentária'!D130</f>
        <v>KIT DE PORTA DE MADEIRA PARA PINTURA, SEMI-OCA (LEVE OU MÉDIA), PADRÃO POPULAR, 70X210CM, ESPESSURA DE 3,5CM, ITENS INCLUSOS: DOBRADIÇAS, MONTAGEM E INSTALAÇÃO DO BATENTE, FECHADURA COM EXECUÇÃO DO FURO - FORNECIMENTO E INSTALAÇÃO. AF_08/2014</v>
      </c>
      <c r="E165" s="21" t="str">
        <f>'Planilha orçamentária'!E130</f>
        <v>UN</v>
      </c>
      <c r="F165" s="23">
        <v>4</v>
      </c>
      <c r="G165" s="396" t="s">
        <v>211</v>
      </c>
      <c r="H165" s="397"/>
      <c r="I165" s="398"/>
      <c r="J165" s="14"/>
    </row>
    <row r="166" spans="1:10" s="3" customFormat="1" ht="45" x14ac:dyDescent="0.2">
      <c r="A166" s="82" t="str">
        <f>'Planilha orçamentária'!A131</f>
        <v>6.6.1.2</v>
      </c>
      <c r="B166" s="21" t="str">
        <f>'Planilha orçamentária'!B131</f>
        <v>91314</v>
      </c>
      <c r="C166" s="21" t="str">
        <f>'Planilha orçamentária'!C131</f>
        <v>SINAPI</v>
      </c>
      <c r="D166" s="21" t="str">
        <f>'Planilha orçamentária'!D131</f>
        <v>KIT DE PORTA DE MADEIRA PARA PINTURA, SEMI-OCA (LEVE OU MÉDIA), PADRÃO POPULAR, 80X210CM, ESPESSURA DE 3,5CM, ITENS INCLUSOS: DOBRADIÇAS, MONTAGEM E INSTALAÇÃO DO BATENTE, FECHADURA COM EXECUÇÃO DO FURO - FORNECIMENTO E INSTALAÇÃO. AF_08/2015</v>
      </c>
      <c r="E166" s="21" t="str">
        <f>'Planilha orçamentária'!E131</f>
        <v>UN</v>
      </c>
      <c r="F166" s="23">
        <v>8</v>
      </c>
      <c r="G166" s="428"/>
      <c r="H166" s="429"/>
      <c r="I166" s="430"/>
    </row>
    <row r="167" spans="1:10" s="3" customFormat="1" ht="45" x14ac:dyDescent="0.2">
      <c r="A167" s="82" t="str">
        <f>'Planilha orçamentária'!A132</f>
        <v>6.6.1.3</v>
      </c>
      <c r="B167" s="21" t="str">
        <f>'Planilha orçamentária'!B132</f>
        <v>91315</v>
      </c>
      <c r="C167" s="21" t="str">
        <f>'Planilha orçamentária'!C132</f>
        <v>SINAPI</v>
      </c>
      <c r="D167" s="21" t="str">
        <f>'Planilha orçamentária'!D132</f>
        <v>KIT DE PORTA DE MADEIRA PARA PINTURA, SEMI-OCA (LEVE OU MÉDIA), PADRÃO POPULAR, 90X210CM, ESPESSURA DE 3,5CM, ITENS INCLUSOS: DOBRADIÇAS, MONTAGEM E INSTALAÇÃO DO BATENTE, FECHADURA COM EXECUÇÃO DO FURO - FORNECIMENTO E INSTALAÇÃO. AF_08/2015</v>
      </c>
      <c r="E167" s="21" t="str">
        <f>'Planilha orçamentária'!E132</f>
        <v>UN</v>
      </c>
      <c r="F167" s="23">
        <v>9</v>
      </c>
      <c r="G167" s="441"/>
      <c r="H167" s="442"/>
      <c r="I167" s="443"/>
    </row>
    <row r="168" spans="1:10" s="3" customFormat="1" ht="22.5" x14ac:dyDescent="0.2">
      <c r="A168" s="82" t="str">
        <f>'Planilha orçamentária'!A133</f>
        <v>6.6.1.4</v>
      </c>
      <c r="B168" s="21" t="str">
        <f>'Planilha orçamentária'!B133</f>
        <v>74065/002</v>
      </c>
      <c r="C168" s="21" t="str">
        <f>'Planilha orçamentária'!C133</f>
        <v>SINAPI</v>
      </c>
      <c r="D168" s="21" t="str">
        <f>'Planilha orçamentária'!D133</f>
        <v>PINTURA ESMALTE ACETINADO PARA MADEIRA, DUAS DEMAOS, SOBRE FUNDO NIVELADOR BRANCO</v>
      </c>
      <c r="E168" s="21" t="str">
        <f>'Planilha orçamentária'!E133</f>
        <v>m²</v>
      </c>
      <c r="F168" s="23">
        <f>2*2.1*(F165*0.7+F166*0.8+F167*0.9)</f>
        <v>72.66</v>
      </c>
      <c r="G168" s="438" t="s">
        <v>347</v>
      </c>
      <c r="H168" s="439"/>
      <c r="I168" s="440"/>
    </row>
    <row r="169" spans="1:10" s="3" customFormat="1" ht="15" customHeight="1" x14ac:dyDescent="0.2">
      <c r="A169" s="92" t="str">
        <f>'Planilha orçamentária'!A134</f>
        <v>6.6.2</v>
      </c>
      <c r="B169" s="113"/>
      <c r="C169" s="235"/>
      <c r="D169" s="19" t="str">
        <f>'Planilha orçamentária'!D134</f>
        <v>ALUMÍNIO/AÇO</v>
      </c>
      <c r="E169" s="19"/>
      <c r="F169" s="19"/>
      <c r="G169" s="435"/>
      <c r="H169" s="436"/>
      <c r="I169" s="437"/>
    </row>
    <row r="170" spans="1:10" s="244" customFormat="1" ht="12" x14ac:dyDescent="0.2">
      <c r="A170" s="84"/>
      <c r="B170" s="252"/>
      <c r="C170" s="204"/>
      <c r="D170" s="35"/>
      <c r="E170" s="35"/>
      <c r="F170" s="182"/>
      <c r="G170" s="260" t="s">
        <v>49</v>
      </c>
      <c r="H170" s="261" t="s">
        <v>50</v>
      </c>
      <c r="I170" s="262" t="s">
        <v>348</v>
      </c>
    </row>
    <row r="171" spans="1:10" s="3" customFormat="1" ht="22.5" x14ac:dyDescent="0.2">
      <c r="A171" s="175" t="str">
        <f>'Planilha orçamentária'!A135</f>
        <v>6.6.2.1</v>
      </c>
      <c r="B171" s="35">
        <f>'Planilha orçamentária'!B135</f>
        <v>91338</v>
      </c>
      <c r="C171" s="165" t="str">
        <f>'Planilha orçamentária'!C135</f>
        <v>SINAPI</v>
      </c>
      <c r="D171" s="35" t="str">
        <f>'Planilha orçamentária'!D135</f>
        <v>PORTA DE ALUMÍNIO DE ABRIR COM LAMBRI, COM GUARNIÇÃO, FIXAÇÃO COM PARA FUSOS - FORNECIMENTO E INSTALAÇÃO. AF_08/2015</v>
      </c>
      <c r="E171" s="165" t="str">
        <f>'Planilha orçamentária'!E135</f>
        <v>m²</v>
      </c>
      <c r="F171" s="150">
        <f>G171*H171*I171</f>
        <v>17.28</v>
      </c>
      <c r="G171" s="286">
        <v>1.8</v>
      </c>
      <c r="H171" s="286">
        <v>0.6</v>
      </c>
      <c r="I171" s="298">
        <v>16</v>
      </c>
    </row>
    <row r="172" spans="1:10" s="3" customFormat="1" ht="11.25" x14ac:dyDescent="0.2">
      <c r="A172" s="176"/>
      <c r="B172" s="254"/>
      <c r="C172" s="193"/>
      <c r="D172" s="155"/>
      <c r="E172" s="166"/>
      <c r="F172" s="203">
        <f t="shared" ref="F172:F175" si="2">G172*H172*I172</f>
        <v>16.200000000000003</v>
      </c>
      <c r="G172" s="287">
        <v>1.8</v>
      </c>
      <c r="H172" s="287">
        <v>0.9</v>
      </c>
      <c r="I172" s="299">
        <v>10</v>
      </c>
    </row>
    <row r="173" spans="1:10" s="3" customFormat="1" ht="22.5" x14ac:dyDescent="0.2">
      <c r="A173" s="225" t="str">
        <f>'Planilha orçamentária'!A136</f>
        <v>6.6.2.2</v>
      </c>
      <c r="B173" s="155">
        <f>'Planilha orçamentária'!B136</f>
        <v>12797</v>
      </c>
      <c r="C173" s="155" t="str">
        <f>'Planilha orçamentária'!C136</f>
        <v>ORSE</v>
      </c>
      <c r="D173" s="155" t="str">
        <f>'Planilha orçamentária'!D136</f>
        <v>Porta ou janela em alumínio, cor N/P/B,tipo veneziana, de abrir ou correr, completa inclusive caixilhos, dobradiças ou roldanas e fechadura</v>
      </c>
      <c r="E173" s="155" t="str">
        <f>'Planilha orçamentária'!E136</f>
        <v>m²</v>
      </c>
      <c r="F173" s="245">
        <f t="shared" si="2"/>
        <v>3.1500000000000004</v>
      </c>
      <c r="G173" s="288">
        <v>2.1</v>
      </c>
      <c r="H173" s="287">
        <v>1.5</v>
      </c>
      <c r="I173" s="299">
        <v>1</v>
      </c>
    </row>
    <row r="174" spans="1:10" s="3" customFormat="1" ht="11.25" x14ac:dyDescent="0.2">
      <c r="A174" s="225"/>
      <c r="B174" s="155"/>
      <c r="C174" s="155"/>
      <c r="D174" s="155"/>
      <c r="E174" s="155"/>
      <c r="F174" s="203">
        <f>G174*H174*I174</f>
        <v>8.4</v>
      </c>
      <c r="G174" s="287">
        <v>2.1</v>
      </c>
      <c r="H174" s="287">
        <v>2</v>
      </c>
      <c r="I174" s="299">
        <v>2</v>
      </c>
    </row>
    <row r="175" spans="1:10" s="3" customFormat="1" ht="11.25" x14ac:dyDescent="0.2">
      <c r="A175" s="225" t="str">
        <f>'Planilha orçamentária'!A137</f>
        <v>6.6.2.3</v>
      </c>
      <c r="B175" s="155">
        <f>'Planilha orçamentária'!B137</f>
        <v>739334</v>
      </c>
      <c r="C175" s="155" t="str">
        <f>'Planilha orçamentária'!C137</f>
        <v>ORSE</v>
      </c>
      <c r="D175" s="155" t="str">
        <f>'Planilha orçamentária'!D137</f>
        <v xml:space="preserve">	Porta de ferro de abrir tipo barra chata, com requadro e guarnicao completa</v>
      </c>
      <c r="E175" s="155" t="str">
        <f>'Planilha orçamentária'!E137</f>
        <v>m²</v>
      </c>
      <c r="F175" s="210">
        <f t="shared" si="2"/>
        <v>3.3600000000000003</v>
      </c>
      <c r="G175" s="288">
        <v>2.1</v>
      </c>
      <c r="H175" s="287">
        <v>0.8</v>
      </c>
      <c r="I175" s="299">
        <v>2</v>
      </c>
    </row>
    <row r="176" spans="1:10" s="3" customFormat="1" ht="11.25" x14ac:dyDescent="0.2">
      <c r="A176" s="175" t="str">
        <f>'Planilha orçamentária'!A138</f>
        <v>6.6.2.4</v>
      </c>
      <c r="B176" s="182">
        <f>'Planilha orçamentária'!B138</f>
        <v>11940</v>
      </c>
      <c r="C176" s="182" t="str">
        <f>'Planilha orçamentária'!C138</f>
        <v>ORSE</v>
      </c>
      <c r="D176" s="182" t="str">
        <f>'Planilha orçamentária'!D138</f>
        <v>Janela em alumínio, cor N/P/B, tipo moldura-vidro, max-ar, exclusive vidro</v>
      </c>
      <c r="E176" s="182" t="str">
        <f>'Planilha orçamentária'!E138</f>
        <v>m²</v>
      </c>
      <c r="F176" s="150">
        <f>G176*H176*I176</f>
        <v>0.09</v>
      </c>
      <c r="G176" s="287">
        <v>0.3</v>
      </c>
      <c r="H176" s="287">
        <v>0.3</v>
      </c>
      <c r="I176" s="299">
        <v>1</v>
      </c>
    </row>
    <row r="177" spans="1:9" s="3" customFormat="1" ht="11.25" x14ac:dyDescent="0.2">
      <c r="A177" s="176"/>
      <c r="B177" s="254"/>
      <c r="C177" s="193"/>
      <c r="D177" s="155"/>
      <c r="E177" s="166"/>
      <c r="F177" s="203">
        <f t="shared" ref="F177:F180" si="3">G177*H177*I177</f>
        <v>12.000000000000002</v>
      </c>
      <c r="G177" s="287">
        <v>1.5</v>
      </c>
      <c r="H177" s="287">
        <v>0.4</v>
      </c>
      <c r="I177" s="299">
        <v>20</v>
      </c>
    </row>
    <row r="178" spans="1:9" s="3" customFormat="1" ht="11.25" x14ac:dyDescent="0.2">
      <c r="A178" s="217" t="str">
        <f>'Planilha orçamentária'!A139</f>
        <v>6.6.2.5</v>
      </c>
      <c r="B178" s="206">
        <f>'Planilha orçamentária'!B139</f>
        <v>11941</v>
      </c>
      <c r="C178" s="206" t="str">
        <f>'Planilha orçamentária'!C139</f>
        <v>ORSE</v>
      </c>
      <c r="D178" s="206" t="str">
        <f>'Planilha orçamentária'!D139</f>
        <v>Janela em alumínio, cor N/P/B, tipo moldura-vidro, de correr, exclusive vidro</v>
      </c>
      <c r="E178" s="206" t="str">
        <f>'Planilha orçamentária'!E139</f>
        <v>m²</v>
      </c>
      <c r="F178" s="246">
        <f t="shared" si="3"/>
        <v>7.92</v>
      </c>
      <c r="G178" s="287">
        <v>1.2</v>
      </c>
      <c r="H178" s="287">
        <v>1.1000000000000001</v>
      </c>
      <c r="I178" s="299">
        <v>6</v>
      </c>
    </row>
    <row r="179" spans="1:9" s="3" customFormat="1" ht="11.25" x14ac:dyDescent="0.2">
      <c r="A179" s="176"/>
      <c r="B179" s="254"/>
      <c r="C179" s="193"/>
      <c r="D179" s="155"/>
      <c r="E179" s="166"/>
      <c r="F179" s="203">
        <f t="shared" si="3"/>
        <v>4</v>
      </c>
      <c r="G179" s="287">
        <v>1</v>
      </c>
      <c r="H179" s="287">
        <v>1</v>
      </c>
      <c r="I179" s="299">
        <v>4</v>
      </c>
    </row>
    <row r="180" spans="1:9" s="3" customFormat="1" ht="11.25" x14ac:dyDescent="0.2">
      <c r="A180" s="82" t="str">
        <f>'Planilha orçamentária'!A140</f>
        <v>6.6.2.6</v>
      </c>
      <c r="B180" s="21">
        <f>'Planilha orçamentária'!B140</f>
        <v>85010</v>
      </c>
      <c r="C180" s="21" t="str">
        <f>'Planilha orçamentária'!C140</f>
        <v>SINAPI</v>
      </c>
      <c r="D180" s="21" t="str">
        <f>'Planilha orçamentária'!D140</f>
        <v>CAIXILHO FIXO, DE ALUMINIO, PARA VIDRO</v>
      </c>
      <c r="E180" s="21" t="str">
        <f>'Planilha orçamentária'!E140</f>
        <v>m²</v>
      </c>
      <c r="F180" s="203">
        <f t="shared" si="3"/>
        <v>8.4</v>
      </c>
      <c r="G180" s="287">
        <v>2.1</v>
      </c>
      <c r="H180" s="287">
        <v>2</v>
      </c>
      <c r="I180" s="299">
        <v>2</v>
      </c>
    </row>
    <row r="181" spans="1:9" s="3" customFormat="1" ht="33.75" x14ac:dyDescent="0.2">
      <c r="A181" s="82" t="str">
        <f>'Planilha orçamentária'!A141</f>
        <v>6.6.2.7</v>
      </c>
      <c r="B181" s="21">
        <f>'Planilha orçamentária'!B141</f>
        <v>7975</v>
      </c>
      <c r="C181" s="21" t="str">
        <f>'Planilha orçamentária'!C141</f>
        <v>ORSE</v>
      </c>
      <c r="D181" s="21" t="str">
        <f>'Planilha orçamentária'!D141</f>
        <v>Gradil de ferro c/barra chata d=3/4" verticais espaç.13cm, pilares em perfil seção quadrada de 5x5cm, vertical espaç.2,50m, c/03 (tres) barras paralelas horizontais 1"x1/4", exclusive mureta</v>
      </c>
      <c r="E181" s="21" t="str">
        <f>'Planilha orçamentária'!E141</f>
        <v>m²</v>
      </c>
      <c r="F181" s="203">
        <f>G181*H181</f>
        <v>152.88000000000002</v>
      </c>
      <c r="G181" s="287">
        <v>2.4500000000000002</v>
      </c>
      <c r="H181" s="289">
        <f>I157</f>
        <v>62.400000000000006</v>
      </c>
      <c r="I181" s="299"/>
    </row>
    <row r="182" spans="1:9" s="3" customFormat="1" ht="11.25" x14ac:dyDescent="0.2">
      <c r="A182" s="82" t="str">
        <f>'Planilha orçamentária'!A142</f>
        <v>6.6.2.8</v>
      </c>
      <c r="B182" s="21" t="str">
        <f>'Planilha orçamentária'!B142</f>
        <v>73924/002</v>
      </c>
      <c r="C182" s="21" t="str">
        <f>'Planilha orçamentária'!C142</f>
        <v>SINAPI</v>
      </c>
      <c r="D182" s="21" t="str">
        <f>'Planilha orçamentária'!D142</f>
        <v>PINTURA ESMALTE ACETINADO, DUAS DEMAOS, SOBRE SUPERFICIE METALICA</v>
      </c>
      <c r="E182" s="21" t="str">
        <f>'Planilha orçamentária'!E142</f>
        <v>m²</v>
      </c>
      <c r="F182" s="23">
        <f>F171+F172+F173+F175</f>
        <v>39.99</v>
      </c>
      <c r="G182" s="290"/>
      <c r="H182" s="290"/>
      <c r="I182" s="300"/>
    </row>
    <row r="183" spans="1:9" s="3" customFormat="1" ht="15" customHeight="1" x14ac:dyDescent="0.2">
      <c r="A183" s="92" t="str">
        <f>'Planilha orçamentária'!A143</f>
        <v>6.6.3</v>
      </c>
      <c r="B183" s="113"/>
      <c r="C183" s="235"/>
      <c r="D183" s="19" t="str">
        <f>'Planilha orçamentária'!D143</f>
        <v>VIDRO</v>
      </c>
      <c r="E183" s="19"/>
      <c r="F183" s="19"/>
      <c r="G183" s="260" t="s">
        <v>49</v>
      </c>
      <c r="H183" s="261" t="s">
        <v>50</v>
      </c>
      <c r="I183" s="262" t="s">
        <v>348</v>
      </c>
    </row>
    <row r="184" spans="1:9" s="3" customFormat="1" ht="22.5" x14ac:dyDescent="0.2">
      <c r="A184" s="82" t="str">
        <f>'Planilha orçamentária'!A144</f>
        <v>6.6.3.1</v>
      </c>
      <c r="B184" s="29">
        <f>'Planilha orçamentária'!B144</f>
        <v>72118</v>
      </c>
      <c r="C184" s="29" t="str">
        <f>'Planilha orçamentária'!C144</f>
        <v>SINAPI</v>
      </c>
      <c r="D184" s="29" t="str">
        <f>'Planilha orçamentária'!D144</f>
        <v>VIDRO TEMPERADO INCOLOR, ESPESSURA 6MM, FORNECIMENTO E INSTALACAO, INCLUSIVE MASSA PARA VEDACAO</v>
      </c>
      <c r="E184" s="29" t="str">
        <f>'Planilha orçamentária'!E144</f>
        <v>m²</v>
      </c>
      <c r="F184" s="23">
        <f>G184*H184*I184</f>
        <v>16.8</v>
      </c>
      <c r="G184" s="243">
        <v>2.1</v>
      </c>
      <c r="H184" s="243">
        <v>4</v>
      </c>
      <c r="I184" s="301">
        <f>2</f>
        <v>2</v>
      </c>
    </row>
    <row r="185" spans="1:9" s="3" customFormat="1" ht="12" x14ac:dyDescent="0.2">
      <c r="A185" s="82" t="str">
        <f>'Planilha orçamentária'!A145</f>
        <v>6.6.3.2</v>
      </c>
      <c r="B185" s="29">
        <f>'Planilha orçamentária'!B145</f>
        <v>72117</v>
      </c>
      <c r="C185" s="29" t="str">
        <f>'Planilha orçamentária'!C145</f>
        <v>SINAPI</v>
      </c>
      <c r="D185" s="29" t="str">
        <f>'Planilha orçamentária'!D145</f>
        <v>VIDRO LISO COMUM TRANSPARENTE, ESPESSURA 4MM</v>
      </c>
      <c r="E185" s="29" t="str">
        <f>'Planilha orçamentária'!E145</f>
        <v>m²</v>
      </c>
      <c r="F185" s="23">
        <f>F176+F177+F178+F179</f>
        <v>24.01</v>
      </c>
      <c r="G185" s="247" t="s">
        <v>356</v>
      </c>
      <c r="H185" s="243"/>
      <c r="I185" s="301"/>
    </row>
    <row r="186" spans="1:9" s="3" customFormat="1" ht="15" customHeight="1" x14ac:dyDescent="0.2">
      <c r="A186" s="96" t="str">
        <f>'Planilha orçamentária'!A146</f>
        <v>6.7</v>
      </c>
      <c r="B186" s="113"/>
      <c r="C186" s="113"/>
      <c r="D186" s="19" t="str">
        <f>'Planilha orçamentária'!D146</f>
        <v>INSTALAÇÕES ELÉTRICAS</v>
      </c>
      <c r="E186" s="19"/>
      <c r="F186" s="20"/>
      <c r="G186" s="426"/>
      <c r="H186" s="426"/>
      <c r="I186" s="427"/>
    </row>
    <row r="187" spans="1:9" s="3" customFormat="1" ht="15" customHeight="1" x14ac:dyDescent="0.2">
      <c r="A187" s="96" t="str">
        <f>'Planilha orçamentária'!A147</f>
        <v>6.7.1</v>
      </c>
      <c r="B187" s="113"/>
      <c r="C187" s="113"/>
      <c r="D187" s="19" t="str">
        <f>'Planilha orçamentária'!D147</f>
        <v>PONTOS ELÉTRICOS</v>
      </c>
      <c r="E187" s="19"/>
      <c r="F187" s="20"/>
      <c r="G187" s="422"/>
      <c r="H187" s="422"/>
      <c r="I187" s="423"/>
    </row>
    <row r="188" spans="1:9" s="3" customFormat="1" ht="12" customHeight="1" x14ac:dyDescent="0.2">
      <c r="A188" s="82" t="str">
        <f>'Planilha orçamentária'!A148</f>
        <v>6.7.1.1</v>
      </c>
      <c r="B188" s="21">
        <f>'Planilha orçamentária'!B148</f>
        <v>3278</v>
      </c>
      <c r="C188" s="21" t="str">
        <f>'Planilha orçamentária'!C148</f>
        <v>ORSE</v>
      </c>
      <c r="D188" s="21" t="str">
        <f>'Planilha orçamentária'!D148</f>
        <v xml:space="preserve">	Ponto de interruptor 01 seção (1 s) embutido com eletroduto de pvc flexível sanfonado Ø 3/4"</v>
      </c>
      <c r="E188" s="21" t="str">
        <f>'Planilha orçamentária'!E148</f>
        <v>pt</v>
      </c>
      <c r="F188" s="210">
        <f>7+17</f>
        <v>24</v>
      </c>
      <c r="G188" s="396" t="s">
        <v>267</v>
      </c>
      <c r="H188" s="397"/>
      <c r="I188" s="398"/>
    </row>
    <row r="189" spans="1:9" s="3" customFormat="1" ht="12" customHeight="1" x14ac:dyDescent="0.2">
      <c r="A189" s="82" t="str">
        <f>'Planilha orçamentária'!A149</f>
        <v>6.7.1.2</v>
      </c>
      <c r="B189" s="21">
        <f>'Planilha orçamentária'!B149</f>
        <v>3281</v>
      </c>
      <c r="C189" s="21" t="str">
        <f>'Planilha orçamentária'!C149</f>
        <v>ORSE</v>
      </c>
      <c r="D189" s="21" t="str">
        <f>'Planilha orçamentária'!D149</f>
        <v xml:space="preserve">	Ponto de interruptor 02 seções (2 s) embutido com eletroduto de pvc flexível sanfonado embutido Ø 3/4"	</v>
      </c>
      <c r="E189" s="21" t="str">
        <f>'Planilha orçamentária'!E149</f>
        <v>pt</v>
      </c>
      <c r="F189" s="210">
        <v>4</v>
      </c>
      <c r="G189" s="428"/>
      <c r="H189" s="429"/>
      <c r="I189" s="430"/>
    </row>
    <row r="190" spans="1:9" s="3" customFormat="1" ht="11.25" customHeight="1" x14ac:dyDescent="0.2">
      <c r="A190" s="82" t="str">
        <f>'Planilha orçamentária'!A150</f>
        <v>6.7.1.3</v>
      </c>
      <c r="B190" s="21">
        <f>'Planilha orçamentária'!B150</f>
        <v>3287</v>
      </c>
      <c r="C190" s="21" t="str">
        <f>'Planilha orçamentária'!C150</f>
        <v>ORSE</v>
      </c>
      <c r="D190" s="21" t="str">
        <f>'Planilha orçamentária'!D150</f>
        <v xml:space="preserve">	Ponto de interruptor 01 seção paralela, embutido, com eletroduto de pvc flexível sanfonado Ø 3/4"</v>
      </c>
      <c r="E190" s="21" t="str">
        <f>'Planilha orçamentária'!E150</f>
        <v>pt</v>
      </c>
      <c r="F190" s="210">
        <v>2</v>
      </c>
      <c r="G190" s="428"/>
      <c r="H190" s="429"/>
      <c r="I190" s="430"/>
    </row>
    <row r="191" spans="1:9" s="3" customFormat="1" ht="11.25" customHeight="1" x14ac:dyDescent="0.2">
      <c r="A191" s="82" t="str">
        <f>'Planilha orçamentária'!A151</f>
        <v>6.7.1.4</v>
      </c>
      <c r="B191" s="21">
        <f>'Planilha orçamentária'!B151</f>
        <v>93141</v>
      </c>
      <c r="C191" s="21" t="str">
        <f>'Planilha orçamentária'!C151</f>
        <v>SINAPI</v>
      </c>
      <c r="D191" s="21" t="str">
        <f>'Planilha orçamentária'!D151</f>
        <v>PONTO DE TOMADA RESIDENCIAL INCLUINDO TOMADA 10A/250V, CAIXA ELÉTRICA, ELETRODUTO, CABO, RASGO, QUEBRA E CHUMBAMENTO. AF_01/2016</v>
      </c>
      <c r="E191" s="21" t="str">
        <f>'Planilha orçamentária'!E151</f>
        <v>pt</v>
      </c>
      <c r="F191" s="210">
        <f>2+27</f>
        <v>29</v>
      </c>
      <c r="G191" s="428"/>
      <c r="H191" s="429"/>
      <c r="I191" s="430"/>
    </row>
    <row r="192" spans="1:9" s="3" customFormat="1" ht="11.25" customHeight="1" x14ac:dyDescent="0.2">
      <c r="A192" s="82" t="str">
        <f>'Planilha orçamentária'!A152</f>
        <v>6.7.1.5</v>
      </c>
      <c r="B192" s="21">
        <f>'Planilha orçamentária'!B152</f>
        <v>93143</v>
      </c>
      <c r="C192" s="21" t="str">
        <f>'Planilha orçamentária'!C152</f>
        <v>SINAPI</v>
      </c>
      <c r="D192" s="21" t="str">
        <f>'Planilha orçamentária'!D152</f>
        <v>PONTO DE TOMADA RESIDENCIAL INCLUINDO TOMADA 20A/250V, CAIXA ELÉTRICA, ELETRODUTO, CABO, RASGO, QUEBRA E CHUMBAMENTO. AF_01/2016</v>
      </c>
      <c r="E192" s="21" t="str">
        <f>'Planilha orçamentária'!E152</f>
        <v>pt</v>
      </c>
      <c r="F192" s="210">
        <v>10</v>
      </c>
      <c r="G192" s="428"/>
      <c r="H192" s="429"/>
      <c r="I192" s="430"/>
    </row>
    <row r="193" spans="1:9" s="3" customFormat="1" ht="11.25" customHeight="1" x14ac:dyDescent="0.2">
      <c r="A193" s="82" t="str">
        <f>'Planilha orçamentária'!A153</f>
        <v>6.7.1.6</v>
      </c>
      <c r="B193" s="21">
        <f>'Planilha orçamentária'!B153</f>
        <v>93128</v>
      </c>
      <c r="C193" s="21" t="str">
        <f>'Planilha orçamentária'!C153</f>
        <v>SINAPI</v>
      </c>
      <c r="D193" s="21" t="str">
        <f>'Planilha orçamentária'!D153</f>
        <v>PONTO DE ILUMINAÇÃO RESIDENCIAL INCLUINDO INTERRUPTOR SIMPLES, CAIXA ELÉTRICA, ELETRODUTO, CABO, RASGO, QUEBRA E CHUMBAMENTO (EXCLUINDO LUMI
NÁRIA E LÂMPADA). AF_01/2016</v>
      </c>
      <c r="E193" s="21" t="str">
        <f>'Planilha orçamentária'!E153</f>
        <v>pt</v>
      </c>
      <c r="F193" s="210">
        <f>F195+F194</f>
        <v>52</v>
      </c>
      <c r="G193" s="428"/>
      <c r="H193" s="429"/>
      <c r="I193" s="430"/>
    </row>
    <row r="194" spans="1:9" s="3" customFormat="1" ht="11.25" customHeight="1" x14ac:dyDescent="0.2">
      <c r="A194" s="82" t="str">
        <f>'Planilha orçamentária'!A154</f>
        <v>6.7.1.7</v>
      </c>
      <c r="B194" s="21">
        <f>'Planilha orçamentária'!B154</f>
        <v>8</v>
      </c>
      <c r="C194" s="21" t="str">
        <f>'Planilha orçamentária'!C154</f>
        <v>COMP</v>
      </c>
      <c r="D194" s="21" t="str">
        <f>'Planilha orçamentária'!D154</f>
        <v>LUMINÁRIA TIPO PLAFON EM PLÁSTICO, DE SOBREPOR, COM 1 LÂMPADA DE 20 W, - FORNECIMENTO E INSTALAÇÃO. AF_11/2017</v>
      </c>
      <c r="E194" s="21" t="str">
        <f>'Planilha orçamentária'!E154</f>
        <v>UND</v>
      </c>
      <c r="F194" s="210">
        <f>4+10</f>
        <v>14</v>
      </c>
      <c r="G194" s="428"/>
      <c r="H194" s="429"/>
      <c r="I194" s="430"/>
    </row>
    <row r="195" spans="1:9" s="3" customFormat="1" ht="11.25" customHeight="1" x14ac:dyDescent="0.2">
      <c r="A195" s="82" t="str">
        <f>'Planilha orçamentária'!A155</f>
        <v>6.7.1.8</v>
      </c>
      <c r="B195" s="21">
        <f>'Planilha orçamentária'!B155</f>
        <v>97586</v>
      </c>
      <c r="C195" s="21" t="str">
        <f>'Planilha orçamentária'!C155</f>
        <v>SINAPI</v>
      </c>
      <c r="D195" s="21" t="str">
        <f>'Planilha orçamentária'!D155</f>
        <v>LUMINÁRIA TIPO CALHA, DE SOBREPOR, COM 2 LÂMPADAS TUBULARES DE 36 W
FORNECIMENTO E INSTALAÇÃO. AF_11/2017</v>
      </c>
      <c r="E195" s="21" t="str">
        <f>'Planilha orçamentária'!E155</f>
        <v>UND</v>
      </c>
      <c r="F195" s="210">
        <f>5+33</f>
        <v>38</v>
      </c>
      <c r="G195" s="428"/>
      <c r="H195" s="429"/>
      <c r="I195" s="430"/>
    </row>
    <row r="196" spans="1:9" s="3" customFormat="1" ht="15" customHeight="1" x14ac:dyDescent="0.2">
      <c r="A196" s="96" t="str">
        <f>'Planilha orçamentária'!A156</f>
        <v>6.7.2</v>
      </c>
      <c r="B196" s="113"/>
      <c r="C196" s="113"/>
      <c r="D196" s="19" t="str">
        <f>'Planilha orçamentária'!D156</f>
        <v>QPDG</v>
      </c>
      <c r="E196" s="19"/>
      <c r="F196" s="20"/>
      <c r="G196" s="424"/>
      <c r="H196" s="424"/>
      <c r="I196" s="425"/>
    </row>
    <row r="197" spans="1:9" s="3" customFormat="1" ht="12" customHeight="1" x14ac:dyDescent="0.2">
      <c r="A197" s="82" t="str">
        <f>'Planilha orçamentária'!A157</f>
        <v>6.7.2.1</v>
      </c>
      <c r="B197" s="21" t="str">
        <f>'Planilha orçamentária'!B157</f>
        <v>74131/005</v>
      </c>
      <c r="C197" s="21" t="str">
        <f>'Planilha orçamentária'!C157</f>
        <v>SINAPI</v>
      </c>
      <c r="D197" s="21" t="str">
        <f>'Planilha orçamentária'!D157</f>
        <v>QUADRO DE DISTRIBUICAO DE ENERGIA DE EMBUTIR, EM CHAPA METALICA, PARA 24 DISJUNTORES TERMOMAGNETICOS MONOPOLARES, COM BARRAMENTO TRIFASICO E NEUTRO, FORNECIMENTO E INSTALACAO</v>
      </c>
      <c r="E197" s="21" t="str">
        <f>'Planilha orçamentária'!E157</f>
        <v>UND</v>
      </c>
      <c r="F197" s="210">
        <v>2</v>
      </c>
      <c r="G197" s="428" t="s">
        <v>267</v>
      </c>
      <c r="H197" s="429"/>
      <c r="I197" s="430"/>
    </row>
    <row r="198" spans="1:9" s="3" customFormat="1" ht="12" customHeight="1" x14ac:dyDescent="0.2">
      <c r="A198" s="82" t="str">
        <f>'Planilha orçamentária'!A158</f>
        <v>6.7.2.2</v>
      </c>
      <c r="B198" s="21">
        <f>'Planilha orçamentária'!B158</f>
        <v>11415</v>
      </c>
      <c r="C198" s="21" t="str">
        <f>'Planilha orçamentária'!C158</f>
        <v>ORSE</v>
      </c>
      <c r="D198" s="21" t="str">
        <f>'Planilha orçamentária'!D158</f>
        <v>Caixa de passagem em alumínio para piso 4" x 2" - Fornecimento e assentamento</v>
      </c>
      <c r="E198" s="21" t="str">
        <f>'Planilha orçamentária'!E158</f>
        <v>UND</v>
      </c>
      <c r="F198" s="210">
        <f>16+7</f>
        <v>23</v>
      </c>
      <c r="G198" s="428"/>
      <c r="H198" s="429"/>
      <c r="I198" s="430"/>
    </row>
    <row r="199" spans="1:9" s="3" customFormat="1" ht="12" customHeight="1" x14ac:dyDescent="0.2">
      <c r="A199" s="82" t="str">
        <f>'Planilha orçamentária'!A159</f>
        <v>6.7.2.3</v>
      </c>
      <c r="B199" s="21">
        <f>'Planilha orçamentária'!B159</f>
        <v>10793</v>
      </c>
      <c r="C199" s="21" t="str">
        <f>'Planilha orçamentária'!C159</f>
        <v>ORSE</v>
      </c>
      <c r="D199" s="21" t="str">
        <f>'Planilha orçamentária'!D159</f>
        <v xml:space="preserve">	Caixa de passagem pvc, 4" x 2" cm, embutir, p/eletroduto</v>
      </c>
      <c r="E199" s="21" t="str">
        <f>'Planilha orçamentária'!E159</f>
        <v>UND</v>
      </c>
      <c r="F199" s="210">
        <v>1</v>
      </c>
      <c r="G199" s="428"/>
      <c r="H199" s="429"/>
      <c r="I199" s="430"/>
    </row>
    <row r="200" spans="1:9" s="3" customFormat="1" ht="12" customHeight="1" x14ac:dyDescent="0.2">
      <c r="A200" s="82" t="str">
        <f>'Planilha orçamentária'!A160</f>
        <v>6.7.2.4</v>
      </c>
      <c r="B200" s="21">
        <f>'Planilha orçamentária'!B160</f>
        <v>339</v>
      </c>
      <c r="C200" s="21" t="str">
        <f>'Planilha orçamentária'!C160</f>
        <v>ORSE</v>
      </c>
      <c r="D200" s="21" t="str">
        <f>'Planilha orçamentária'!D160</f>
        <v>Quadro de medição trifásica (acima de 10 kva) com caixa em noril</v>
      </c>
      <c r="E200" s="21" t="str">
        <f>'Planilha orçamentária'!E160</f>
        <v>UND</v>
      </c>
      <c r="F200" s="210">
        <v>1</v>
      </c>
      <c r="G200" s="428"/>
      <c r="H200" s="429"/>
      <c r="I200" s="430"/>
    </row>
    <row r="201" spans="1:9" s="3" customFormat="1" ht="12" customHeight="1" x14ac:dyDescent="0.2">
      <c r="A201" s="82" t="str">
        <f>'Planilha orçamentária'!A161</f>
        <v>6.7.2.5</v>
      </c>
      <c r="B201" s="21">
        <f>'Planilha orçamentária'!B161</f>
        <v>11386</v>
      </c>
      <c r="C201" s="21" t="str">
        <f>'Planilha orçamentária'!C161</f>
        <v>ORSE</v>
      </c>
      <c r="D201" s="21" t="str">
        <f>'Planilha orçamentária'!D161</f>
        <v xml:space="preserve">	Entrada de energia elétrica trifásica demanda entre 0 e 15,2 kw - Rev 01</v>
      </c>
      <c r="E201" s="21" t="str">
        <f>'Planilha orçamentária'!E161</f>
        <v>UND</v>
      </c>
      <c r="F201" s="210">
        <v>1</v>
      </c>
      <c r="G201" s="428"/>
      <c r="H201" s="429"/>
      <c r="I201" s="430"/>
    </row>
    <row r="202" spans="1:9" s="3" customFormat="1" ht="12" customHeight="1" x14ac:dyDescent="0.2">
      <c r="A202" s="82" t="str">
        <f>'Planilha orçamentária'!A162</f>
        <v>6.7.2.6</v>
      </c>
      <c r="B202" s="21" t="str">
        <f>'Planilha orçamentária'!B162</f>
        <v>74130/005</v>
      </c>
      <c r="C202" s="21" t="str">
        <f>'Planilha orçamentária'!C162</f>
        <v>SINAPI</v>
      </c>
      <c r="D202" s="21" t="str">
        <f>'Planilha orçamentária'!D162</f>
        <v>DISJUNTOR TERMOMAGNETICO TRIPOLAR PADRAO NEMA (AMERICANO) 60 A 100A 240V, FORNECIMENTO E INSTALACAO</v>
      </c>
      <c r="E202" s="21" t="str">
        <f>'Planilha orçamentária'!E162</f>
        <v>UND</v>
      </c>
      <c r="F202" s="210">
        <f>H202+H206</f>
        <v>3</v>
      </c>
      <c r="G202" s="236" t="s">
        <v>284</v>
      </c>
      <c r="H202" s="208">
        <v>1</v>
      </c>
      <c r="I202" s="209" t="s">
        <v>246</v>
      </c>
    </row>
    <row r="203" spans="1:9" s="3" customFormat="1" ht="12" customHeight="1" x14ac:dyDescent="0.2">
      <c r="A203" s="82" t="str">
        <f>'Planilha orçamentária'!A163</f>
        <v>6.7.2.7</v>
      </c>
      <c r="B203" s="21" t="str">
        <f>'Planilha orçamentária'!B163</f>
        <v>74130/004</v>
      </c>
      <c r="C203" s="21" t="str">
        <f>'Planilha orçamentária'!C163</f>
        <v>SINAPI</v>
      </c>
      <c r="D203" s="21" t="str">
        <f>'Planilha orçamentária'!D163</f>
        <v>DISJUNTOR TERMOMAGNETICO TRIPOLAR PADRAO NEMA (AMERICANO) 10 A 50A 240V, FORNECIMENTO E INSTALACAO</v>
      </c>
      <c r="E203" s="21" t="str">
        <f>'Planilha orçamentária'!E163</f>
        <v>UND</v>
      </c>
      <c r="F203" s="210">
        <f>H203+H204+H205</f>
        <v>23</v>
      </c>
      <c r="G203" s="236" t="s">
        <v>285</v>
      </c>
      <c r="H203" s="208">
        <v>11</v>
      </c>
      <c r="I203" s="209" t="s">
        <v>246</v>
      </c>
    </row>
    <row r="204" spans="1:9" s="3" customFormat="1" ht="12" customHeight="1" x14ac:dyDescent="0.2">
      <c r="A204" s="82"/>
      <c r="B204" s="21"/>
      <c r="C204" s="21"/>
      <c r="D204" s="21"/>
      <c r="E204" s="21"/>
      <c r="F204" s="210"/>
      <c r="G204" s="237" t="s">
        <v>288</v>
      </c>
      <c r="H204" s="208">
        <v>10</v>
      </c>
      <c r="I204" s="209" t="s">
        <v>246</v>
      </c>
    </row>
    <row r="205" spans="1:9" s="3" customFormat="1" ht="12" customHeight="1" x14ac:dyDescent="0.2">
      <c r="A205" s="82"/>
      <c r="B205" s="21"/>
      <c r="C205" s="21"/>
      <c r="D205" s="21"/>
      <c r="E205" s="21"/>
      <c r="F205" s="210"/>
      <c r="G205" s="238" t="s">
        <v>286</v>
      </c>
      <c r="H205" s="208">
        <v>2</v>
      </c>
      <c r="I205" s="209" t="s">
        <v>246</v>
      </c>
    </row>
    <row r="206" spans="1:9" s="3" customFormat="1" ht="12" customHeight="1" x14ac:dyDescent="0.2">
      <c r="A206" s="82"/>
      <c r="B206" s="21"/>
      <c r="C206" s="21"/>
      <c r="D206" s="21"/>
      <c r="E206" s="21"/>
      <c r="F206" s="210"/>
      <c r="G206" s="239" t="s">
        <v>287</v>
      </c>
      <c r="H206" s="211">
        <v>2</v>
      </c>
      <c r="I206" s="220" t="s">
        <v>246</v>
      </c>
    </row>
    <row r="207" spans="1:9" s="3" customFormat="1" ht="15" customHeight="1" x14ac:dyDescent="0.2">
      <c r="A207" s="96" t="str">
        <f>'Planilha orçamentária'!A164</f>
        <v>6.8</v>
      </c>
      <c r="B207" s="113"/>
      <c r="C207" s="235"/>
      <c r="D207" s="113" t="str">
        <f>'Planilha orçamentária'!D164</f>
        <v>INSTALAÇÕES HIDRAULICAS</v>
      </c>
      <c r="E207" s="19"/>
      <c r="F207" s="20"/>
      <c r="G207" s="420"/>
      <c r="H207" s="420"/>
      <c r="I207" s="421"/>
    </row>
    <row r="208" spans="1:9" s="3" customFormat="1" ht="15" customHeight="1" x14ac:dyDescent="0.2">
      <c r="A208" s="96" t="str">
        <f>'Planilha orçamentária'!A165</f>
        <v>6.8.1</v>
      </c>
      <c r="B208" s="113"/>
      <c r="C208" s="235"/>
      <c r="D208" s="113" t="str">
        <f>'Planilha orçamentária'!D165</f>
        <v>ACABAMENTOS / LOUÇA E METAIS / KIT PNE</v>
      </c>
      <c r="E208" s="19"/>
      <c r="F208" s="20"/>
      <c r="G208" s="422"/>
      <c r="H208" s="422"/>
      <c r="I208" s="423"/>
    </row>
    <row r="209" spans="1:9" s="3" customFormat="1" ht="22.5" x14ac:dyDescent="0.2">
      <c r="A209" s="82" t="str">
        <f>'Planilha orçamentária'!A166</f>
        <v>6.8.1.1</v>
      </c>
      <c r="B209" s="21">
        <f>'Planilha orçamentária'!B166</f>
        <v>11696</v>
      </c>
      <c r="C209" s="21" t="str">
        <f>'Planilha orçamentária'!C166</f>
        <v>SINAPI</v>
      </c>
      <c r="D209" s="21" t="str">
        <f>'Planilha orçamentária'!D166</f>
        <v>LAVATORIO/CUBA DE SOBREPOR OVAL PEQUENA LOUCA BRANCA SEM LADRAO *31 X 44*</v>
      </c>
      <c r="E209" s="21" t="str">
        <f>'Planilha orçamentária'!E166</f>
        <v>UND</v>
      </c>
      <c r="F209" s="210">
        <v>16</v>
      </c>
      <c r="G209" s="396" t="s">
        <v>274</v>
      </c>
      <c r="H209" s="397"/>
      <c r="I209" s="398"/>
    </row>
    <row r="210" spans="1:9" s="3" customFormat="1" ht="22.5" x14ac:dyDescent="0.2">
      <c r="A210" s="82" t="str">
        <f>'Planilha orçamentária'!A167</f>
        <v>6.8.1.2</v>
      </c>
      <c r="B210" s="21">
        <f>'Planilha orçamentária'!B167</f>
        <v>1750</v>
      </c>
      <c r="C210" s="21" t="str">
        <f>'Planilha orçamentária'!C167</f>
        <v>SINAPI</v>
      </c>
      <c r="D210" s="21" t="str">
        <f>'Planilha orçamentária'!D167</f>
        <v>BANCADA/BANCA/PIA DE ACO INOXIDAVEL (AISI 430) COM 2 CUBAS, COM VALVULAS, 
ESCORREDOR DUPLO, DE *0,55 X 2,00* M</v>
      </c>
      <c r="E210" s="21" t="str">
        <f>'Planilha orçamentária'!E167</f>
        <v>UND</v>
      </c>
      <c r="F210" s="210">
        <v>1</v>
      </c>
      <c r="G210" s="428"/>
      <c r="H210" s="429"/>
      <c r="I210" s="430"/>
    </row>
    <row r="211" spans="1:9" s="3" customFormat="1" ht="11.25" customHeight="1" x14ac:dyDescent="0.2">
      <c r="A211" s="82" t="str">
        <f>'Planilha orçamentária'!A168</f>
        <v>6.8.1.3</v>
      </c>
      <c r="B211" s="21">
        <f>'Planilha orçamentária'!B168</f>
        <v>10425</v>
      </c>
      <c r="C211" s="21" t="str">
        <f>'Planilha orçamentária'!C168</f>
        <v>SINAPI</v>
      </c>
      <c r="D211" s="21" t="str">
        <f>'Planilha orçamentária'!D168</f>
        <v>LAVATORIO LOUCA BRANCA SUSPENSO *40 X 30* CM</v>
      </c>
      <c r="E211" s="21" t="str">
        <f>'Planilha orçamentária'!E168</f>
        <v>UND</v>
      </c>
      <c r="F211" s="210">
        <v>4</v>
      </c>
      <c r="G211" s="428"/>
      <c r="H211" s="429"/>
      <c r="I211" s="430"/>
    </row>
    <row r="212" spans="1:9" s="3" customFormat="1" ht="33.75" x14ac:dyDescent="0.2">
      <c r="A212" s="82" t="str">
        <f>'Planilha orçamentária'!A169</f>
        <v>6.8.1.4</v>
      </c>
      <c r="B212" s="21">
        <f>'Planilha orçamentária'!B169</f>
        <v>86931</v>
      </c>
      <c r="C212" s="21" t="str">
        <f>'Planilha orçamentária'!C169</f>
        <v>SINAPI</v>
      </c>
      <c r="D212" s="21" t="str">
        <f>'Planilha orçamentária'!D169</f>
        <v>VASO SANITÁRIO SIFONADO COM CAIXA ACOPLADA LOUÇA BRANCA, INCLUSO ENGATE FLEXÍVEL EM PLÁSTICO BRANCO, 1/2 X 40CM - FORNECIMENTO E INSTALAÇÃO
. AF_12/2013</v>
      </c>
      <c r="E212" s="21" t="str">
        <f>'Planilha orçamentária'!E169</f>
        <v>UND</v>
      </c>
      <c r="F212" s="210">
        <v>18</v>
      </c>
      <c r="G212" s="428"/>
      <c r="H212" s="429"/>
      <c r="I212" s="430"/>
    </row>
    <row r="213" spans="1:9" s="3" customFormat="1" ht="22.5" x14ac:dyDescent="0.2">
      <c r="A213" s="82" t="str">
        <f>'Planilha orçamentária'!A170</f>
        <v>6.8.1.5</v>
      </c>
      <c r="B213" s="21">
        <f>'Planilha orçamentária'!B170</f>
        <v>8674</v>
      </c>
      <c r="C213" s="21" t="str">
        <f>'Planilha orçamentária'!C170</f>
        <v>ORSE</v>
      </c>
      <c r="D213" s="21" t="str">
        <f>'Planilha orçamentária'!D170</f>
        <v xml:space="preserve">	Caixa de descarga acoplada, ecologica, linha flam ecoflush BR 3/6 litros, INCEPA ou similar</v>
      </c>
      <c r="E213" s="21" t="str">
        <f>'Planilha orçamentária'!E170</f>
        <v>UND</v>
      </c>
      <c r="F213" s="210">
        <f>F214</f>
        <v>6</v>
      </c>
      <c r="G213" s="428"/>
      <c r="H213" s="429"/>
      <c r="I213" s="430"/>
    </row>
    <row r="214" spans="1:9" s="3" customFormat="1" ht="33.75" x14ac:dyDescent="0.2">
      <c r="A214" s="82" t="str">
        <f>'Planilha orçamentária'!A171</f>
        <v>6.8.1.6</v>
      </c>
      <c r="B214" s="21">
        <f>'Planilha orçamentária'!B171</f>
        <v>95472</v>
      </c>
      <c r="C214" s="21" t="str">
        <f>'Planilha orçamentária'!C171</f>
        <v>SINAPI</v>
      </c>
      <c r="D214" s="21" t="str">
        <f>'Planilha orçamentária'!D171</f>
        <v>VASO SANITARIO SIFONADO CONVENCIONAL PARA PCD SEM FURO FRONTAL COM LOUÇA BRANCA SEM ASSENTO, INCLUSO CONJUNTO DE LIGAÇÃO PARA BACIA SANITÁRI
A AJUSTÁVEL - FORNECIMENTO E INSTALAÇÃO. AF_10/2016</v>
      </c>
      <c r="E214" s="21" t="str">
        <f>'Planilha orçamentária'!E171</f>
        <v>UND</v>
      </c>
      <c r="F214" s="210">
        <v>6</v>
      </c>
      <c r="G214" s="428"/>
      <c r="H214" s="429"/>
      <c r="I214" s="430"/>
    </row>
    <row r="215" spans="1:9" s="3" customFormat="1" ht="11.25" customHeight="1" x14ac:dyDescent="0.2">
      <c r="A215" s="82" t="str">
        <f>'Planilha orçamentária'!A172</f>
        <v>6.8.1.7</v>
      </c>
      <c r="B215" s="21">
        <f>'Planilha orçamentária'!B172</f>
        <v>377</v>
      </c>
      <c r="C215" s="21" t="str">
        <f>'Planilha orçamentária'!C172</f>
        <v>SINAPI</v>
      </c>
      <c r="D215" s="21" t="str">
        <f>'Planilha orçamentária'!D172</f>
        <v>ASSENTO SANITARIO DE PLASTICO, TIPO CONVENCIONAL</v>
      </c>
      <c r="E215" s="21" t="str">
        <f>'Planilha orçamentária'!E172</f>
        <v>UND</v>
      </c>
      <c r="F215" s="210">
        <f>F212</f>
        <v>18</v>
      </c>
      <c r="G215" s="428"/>
      <c r="H215" s="429"/>
      <c r="I215" s="430"/>
    </row>
    <row r="216" spans="1:9" s="3" customFormat="1" ht="22.5" x14ac:dyDescent="0.2">
      <c r="A216" s="82" t="str">
        <f>'Planilha orçamentária'!A173</f>
        <v>6.8.1.8</v>
      </c>
      <c r="B216" s="21">
        <f>'Planilha orçamentária'!B173</f>
        <v>13241</v>
      </c>
      <c r="C216" s="21" t="str">
        <f>'Planilha orçamentária'!C173</f>
        <v>ORSE</v>
      </c>
      <c r="D216" s="21" t="str">
        <f>'Planilha orçamentária'!D173</f>
        <v>Assento Sanitário Elevado com Tampa 7,5 Cm, indicado para Pós-cirúrgicos, Deficientes físicos e Idosos, da Mebuki ou similar</v>
      </c>
      <c r="E216" s="21" t="str">
        <f>'Planilha orçamentária'!E173</f>
        <v>UND</v>
      </c>
      <c r="F216" s="210">
        <f>F213</f>
        <v>6</v>
      </c>
      <c r="G216" s="428"/>
      <c r="H216" s="429"/>
      <c r="I216" s="430"/>
    </row>
    <row r="217" spans="1:9" s="3" customFormat="1" ht="11.25" customHeight="1" x14ac:dyDescent="0.2">
      <c r="A217" s="82" t="str">
        <f>'Planilha orçamentária'!A174</f>
        <v>6.8.1.9</v>
      </c>
      <c r="B217" s="21">
        <f>'Planilha orçamentária'!B174</f>
        <v>36220</v>
      </c>
      <c r="C217" s="21" t="str">
        <f>'Planilha orçamentária'!C174</f>
        <v>SINAPI</v>
      </c>
      <c r="D217" s="21" t="str">
        <f>'Planilha orçamentária'!D174</f>
        <v>BARRA DE APOIO RETA, EM ALUMINIO, COMPRIMENTO 70CM, DIAMETRO MINIMO 3 CM</v>
      </c>
      <c r="E217" s="21" t="str">
        <f>'Planilha orçamentária'!E174</f>
        <v>UND</v>
      </c>
      <c r="F217" s="210">
        <v>6</v>
      </c>
      <c r="G217" s="428"/>
      <c r="H217" s="429"/>
      <c r="I217" s="430"/>
    </row>
    <row r="218" spans="1:9" s="3" customFormat="1" ht="11.25" x14ac:dyDescent="0.2">
      <c r="A218" s="82" t="str">
        <f>'Planilha orçamentária'!A175</f>
        <v>6.8.1.10</v>
      </c>
      <c r="B218" s="21">
        <f>'Planilha orçamentária'!B175</f>
        <v>7608</v>
      </c>
      <c r="C218" s="21" t="str">
        <f>'Planilha orçamentária'!C175</f>
        <v>SINAPI</v>
      </c>
      <c r="D218" s="21" t="str">
        <f>'Planilha orçamentária'!D175</f>
        <v>CHUVEIRO PLASTICO BRANCO SIMPLES 5 '' PARA ACOPLAR EM HASTE 1/2 ", AGUA FRIA</v>
      </c>
      <c r="E218" s="21" t="str">
        <f>'Planilha orçamentária'!E175</f>
        <v>UND</v>
      </c>
      <c r="F218" s="210">
        <v>19</v>
      </c>
      <c r="G218" s="428"/>
      <c r="H218" s="429"/>
      <c r="I218" s="430"/>
    </row>
    <row r="219" spans="1:9" s="3" customFormat="1" ht="15" customHeight="1" x14ac:dyDescent="0.2">
      <c r="A219" s="82" t="str">
        <f>'Planilha orçamentária'!A176</f>
        <v>6.8.1.11</v>
      </c>
      <c r="B219" s="21" t="str">
        <f>'Planilha orçamentária'!B176</f>
        <v>7612</v>
      </c>
      <c r="C219" s="21" t="str">
        <f>'Planilha orçamentária'!C176</f>
        <v>ORSE</v>
      </c>
      <c r="D219" s="21" t="str">
        <f>'Planilha orçamentária'!D176</f>
        <v>Torneira de mesa com fechamento automático, linha Link, DECA, ref. 1172 C ou similar</v>
      </c>
      <c r="E219" s="21" t="str">
        <f>'Planilha orçamentária'!E176</f>
        <v>UND</v>
      </c>
      <c r="F219" s="210">
        <v>18</v>
      </c>
      <c r="G219" s="428"/>
      <c r="H219" s="429"/>
      <c r="I219" s="430"/>
    </row>
    <row r="220" spans="1:9" s="3" customFormat="1" ht="15" customHeight="1" x14ac:dyDescent="0.2">
      <c r="A220" s="82" t="str">
        <f>'Planilha orçamentária'!A177</f>
        <v>6.8.1.12</v>
      </c>
      <c r="B220" s="21" t="str">
        <f>'Planilha orçamentária'!B177</f>
        <v>10100</v>
      </c>
      <c r="C220" s="21" t="str">
        <f>'Planilha orçamentária'!C177</f>
        <v>ORSE</v>
      </c>
      <c r="D220" s="21" t="str">
        <f>'Planilha orçamentária'!D177</f>
        <v>Torneira de parede, cromada, fechamento automático, Biopress, ref. 1182-BIO, da Fabrimar ou similar</v>
      </c>
      <c r="E220" s="21" t="str">
        <f>'Planilha orçamentária'!E177</f>
        <v>UND</v>
      </c>
      <c r="F220" s="210">
        <v>4</v>
      </c>
      <c r="G220" s="428"/>
      <c r="H220" s="429"/>
      <c r="I220" s="430"/>
    </row>
    <row r="221" spans="1:9" s="3" customFormat="1" ht="11.25" customHeight="1" x14ac:dyDescent="0.2">
      <c r="A221" s="82" t="str">
        <f>'Planilha orçamentária'!A178</f>
        <v>6.8.1.13</v>
      </c>
      <c r="B221" s="21">
        <f>'Planilha orçamentária'!B178</f>
        <v>13984</v>
      </c>
      <c r="C221" s="21" t="str">
        <f>'Planilha orçamentária'!C178</f>
        <v>SINAPI</v>
      </c>
      <c r="D221" s="21" t="str">
        <f>'Planilha orçamentária'!D178</f>
        <v>TORNEIRA CROMADA CURTA SEM BICO PARA USO GERAL 1/2 " OU 3/4 " (REF 1152)</v>
      </c>
      <c r="E221" s="21" t="str">
        <f>'Planilha orçamentária'!E178</f>
        <v>UND</v>
      </c>
      <c r="F221" s="210">
        <v>2</v>
      </c>
      <c r="G221" s="441"/>
      <c r="H221" s="442"/>
      <c r="I221" s="443"/>
    </row>
    <row r="222" spans="1:9" s="3" customFormat="1" ht="15" customHeight="1" x14ac:dyDescent="0.2">
      <c r="A222" s="96" t="str">
        <f>'Planilha orçamentária'!A179</f>
        <v>6.8.2</v>
      </c>
      <c r="B222" s="113"/>
      <c r="C222" s="235"/>
      <c r="D222" s="113" t="str">
        <f>'Planilha orçamentária'!D179</f>
        <v>PONTOS DE HIDRAULICA</v>
      </c>
      <c r="E222" s="19"/>
      <c r="F222" s="20"/>
      <c r="G222" s="420"/>
      <c r="H222" s="420"/>
      <c r="I222" s="421"/>
    </row>
    <row r="223" spans="1:9" s="3" customFormat="1" ht="12" customHeight="1" x14ac:dyDescent="0.2">
      <c r="A223" s="82" t="str">
        <f>'Planilha orçamentária'!A180</f>
        <v>6.8.2.1</v>
      </c>
      <c r="B223" s="29">
        <f>'Planilha orçamentária'!B180</f>
        <v>89957</v>
      </c>
      <c r="C223" s="29" t="str">
        <f>'Planilha orçamentária'!C180</f>
        <v>SINAPI</v>
      </c>
      <c r="D223" s="21" t="str">
        <f>'Planilha orçamentária'!D180</f>
        <v>PONTO DE CONSUMO TERMINAL DE ÁGUA FRIA (SUBRAMAL) COM TUBULAÇÃO DE PVC , DN 25 MM, INSTALADO EM RAMAL DE ÁGUA, INCLUSOS RASGO E CHUMBAMENTO EM ALVENARIA. AF_12/2014</v>
      </c>
      <c r="E223" s="21" t="str">
        <f>'Planilha orçamentária'!E180</f>
        <v>UND</v>
      </c>
      <c r="F223" s="23">
        <f>22+43</f>
        <v>65</v>
      </c>
      <c r="G223" s="411" t="s">
        <v>274</v>
      </c>
      <c r="H223" s="412"/>
      <c r="I223" s="413"/>
    </row>
    <row r="224" spans="1:9" s="3" customFormat="1" ht="12" customHeight="1" x14ac:dyDescent="0.2">
      <c r="A224" s="82" t="str">
        <f>'Planilha orçamentária'!A181</f>
        <v>6.8.2.2</v>
      </c>
      <c r="B224" s="29">
        <f>'Planilha orçamentária'!B181</f>
        <v>1679</v>
      </c>
      <c r="C224" s="29" t="str">
        <f>'Planilha orçamentária'!C181</f>
        <v>ORSE</v>
      </c>
      <c r="D224" s="21" t="str">
        <f>'Planilha orçamentária'!D181</f>
        <v>Ponto de esgoto com tubo de pvc rígido soldável de Ø 40 mm (lavatórios, mictórios, ralos sifonados, etc...)</v>
      </c>
      <c r="E224" s="21" t="str">
        <f>'Planilha orçamentária'!E181</f>
        <v>UND</v>
      </c>
      <c r="F224" s="23">
        <f>8+16</f>
        <v>24</v>
      </c>
      <c r="G224" s="414"/>
      <c r="H224" s="415"/>
      <c r="I224" s="416"/>
    </row>
    <row r="225" spans="1:9" s="3" customFormat="1" ht="12" customHeight="1" x14ac:dyDescent="0.2">
      <c r="A225" s="82" t="str">
        <f>'Planilha orçamentária'!A182</f>
        <v>6.8.2.3</v>
      </c>
      <c r="B225" s="29">
        <f>'Planilha orçamentária'!B182</f>
        <v>1678</v>
      </c>
      <c r="C225" s="29" t="str">
        <f>'Planilha orçamentária'!C182</f>
        <v>ORSE</v>
      </c>
      <c r="D225" s="21" t="str">
        <f>'Planilha orçamentária'!D182</f>
        <v>Ponto de esgoto com tubo de pvc rígido soldável de Ø 50 mm (pias de cozinha, máquinas de lavar, etc...)</v>
      </c>
      <c r="E225" s="21" t="str">
        <f>'Planilha orçamentária'!E182</f>
        <v>UND</v>
      </c>
      <c r="F225" s="23">
        <v>10</v>
      </c>
      <c r="G225" s="414"/>
      <c r="H225" s="415"/>
      <c r="I225" s="416"/>
    </row>
    <row r="226" spans="1:9" s="3" customFormat="1" ht="12" customHeight="1" x14ac:dyDescent="0.2">
      <c r="A226" s="82" t="str">
        <f>'Planilha orçamentária'!A183</f>
        <v>6.8.2.4</v>
      </c>
      <c r="B226" s="29">
        <f>'Planilha orçamentária'!B183</f>
        <v>1683</v>
      </c>
      <c r="C226" s="29" t="str">
        <f>'Planilha orçamentária'!C183</f>
        <v>ORSE</v>
      </c>
      <c r="D226" s="21" t="str">
        <f>'Planilha orçamentária'!D183</f>
        <v>Ponto de esgoto com tubo de pvc rígido soldável de Ø 100 mm (vaso sanitário)</v>
      </c>
      <c r="E226" s="21" t="str">
        <f>'Planilha orçamentária'!E183</f>
        <v>UND</v>
      </c>
      <c r="F226" s="23">
        <f>6+16</f>
        <v>22</v>
      </c>
      <c r="G226" s="414"/>
      <c r="H226" s="415"/>
      <c r="I226" s="416"/>
    </row>
    <row r="227" spans="1:9" s="3" customFormat="1" ht="12" customHeight="1" x14ac:dyDescent="0.2">
      <c r="A227" s="82" t="str">
        <f>'Planilha orçamentária'!A184</f>
        <v>6.8.2.5</v>
      </c>
      <c r="B227" s="29">
        <f>'Planilha orçamentária'!B184</f>
        <v>7594</v>
      </c>
      <c r="C227" s="29" t="str">
        <f>'Planilha orçamentária'!C184</f>
        <v>ORSE</v>
      </c>
      <c r="D227" s="21" t="str">
        <f>'Planilha orçamentária'!D184</f>
        <v xml:space="preserve">	Terminal de ventilação em pvc rígido soldável, para esgoto primário, diâm = 75mm</v>
      </c>
      <c r="E227" s="21" t="str">
        <f>'Planilha orçamentária'!E184</f>
        <v>UND</v>
      </c>
      <c r="F227" s="23">
        <v>12</v>
      </c>
      <c r="G227" s="417"/>
      <c r="H227" s="418"/>
      <c r="I227" s="419"/>
    </row>
    <row r="228" spans="1:9" s="3" customFormat="1" ht="15" customHeight="1" x14ac:dyDescent="0.2">
      <c r="A228" s="96" t="str">
        <f>'Planilha orçamentária'!A185</f>
        <v>6.8.3</v>
      </c>
      <c r="B228" s="113"/>
      <c r="C228" s="235"/>
      <c r="D228" s="113" t="str">
        <f>'Planilha orçamentária'!D185</f>
        <v>RAMAIS</v>
      </c>
      <c r="E228" s="19"/>
      <c r="F228" s="20"/>
      <c r="G228" s="422"/>
      <c r="H228" s="422"/>
      <c r="I228" s="423"/>
    </row>
    <row r="229" spans="1:9" s="3" customFormat="1" ht="12" customHeight="1" x14ac:dyDescent="0.2">
      <c r="A229" s="82" t="str">
        <f>'Planilha orçamentária'!A186</f>
        <v>6.8.3.1</v>
      </c>
      <c r="B229" s="29">
        <f>'Planilha orçamentária'!B186</f>
        <v>91785</v>
      </c>
      <c r="C229" s="29" t="str">
        <f>'Planilha orçamentária'!C186</f>
        <v>SINAPI</v>
      </c>
      <c r="D229" s="21" t="str">
        <f>'Planilha orçamentária'!D186</f>
        <v>(COMPOSIÇÃO REPRESENTATIVA) DO SERVIÇO DE INSTALAÇÃO DE TUBOS DE PVC, SOLDÁVEL, ÁGUA FRIA, DN 25 MM (INSTALADO EM RAMAL, SUB-RAMAL, RAMAL DE
DISTRIBUIÇÃO OU PRUMADA), INCLUSIVE CONEXÕES, CORTES E FIXAÇÕES, PARA PRÉDIOS. AF_10/2015</v>
      </c>
      <c r="E229" s="21" t="str">
        <f>'Planilha orçamentária'!E186</f>
        <v>M</v>
      </c>
      <c r="F229" s="210">
        <f>32.68+99.12</f>
        <v>131.80000000000001</v>
      </c>
      <c r="G229" s="411" t="s">
        <v>274</v>
      </c>
      <c r="H229" s="412"/>
      <c r="I229" s="413"/>
    </row>
    <row r="230" spans="1:9" s="3" customFormat="1" ht="12" customHeight="1" x14ac:dyDescent="0.2">
      <c r="A230" s="82" t="str">
        <f>'Planilha orçamentária'!A187</f>
        <v>6.8.3.2</v>
      </c>
      <c r="B230" s="29">
        <f>'Planilha orçamentária'!B187</f>
        <v>91786</v>
      </c>
      <c r="C230" s="29" t="str">
        <f>'Planilha orçamentária'!C187</f>
        <v>SINAPI</v>
      </c>
      <c r="D230" s="21" t="str">
        <f>'Planilha orçamentária'!D187</f>
        <v>(COMPOSIÇÃO REPRESENTATIVA) DO SERVIÇO DE INSTALAÇÃO TUBOS DE PVC, SOLDÁVEL, ÁGUA FRIA, DN 32 MM (INSTALADO EM RAMAL, SUB-RAMAL, RAMAL DE DISTRIBUIÇÃO OU PRUMADA), INCLUSIVE CONEXÕES, CORTES E FIXAÇÕES, PARA PRÉDIOS. AF_10/2015</v>
      </c>
      <c r="E230" s="21" t="str">
        <f>'Planilha orçamentária'!E187</f>
        <v>M</v>
      </c>
      <c r="F230" s="210">
        <f>28.15+74.76</f>
        <v>102.91</v>
      </c>
      <c r="G230" s="414"/>
      <c r="H230" s="415"/>
      <c r="I230" s="416"/>
    </row>
    <row r="231" spans="1:9" s="3" customFormat="1" ht="12" customHeight="1" x14ac:dyDescent="0.2">
      <c r="A231" s="82" t="str">
        <f>'Planilha orçamentária'!A188</f>
        <v>6.8.3.3</v>
      </c>
      <c r="B231" s="29">
        <f>'Planilha orçamentária'!B188</f>
        <v>91787</v>
      </c>
      <c r="C231" s="29" t="str">
        <f>'Planilha orçamentária'!C188</f>
        <v>SINAPI</v>
      </c>
      <c r="D231" s="21" t="str">
        <f>'Planilha orçamentária'!D188</f>
        <v>(COMPOSIÇÃO REPRESENTATIVA) DO SERVIÇO DE INSTALAÇÃO DE TUBOS DE PVC, SOLDÁVEL, ÁGUA FRIA, DN 40 MM (INSTALADO EM PRUMADA), INCLUSIVE CONEXÕES, CORTES E FIXAÇÕES, PARA PRÉDIOS. AF_10/2015</v>
      </c>
      <c r="E231" s="21" t="str">
        <f>'Planilha orçamentária'!E188</f>
        <v>M</v>
      </c>
      <c r="F231" s="210">
        <f>12+4.62</f>
        <v>16.62</v>
      </c>
      <c r="G231" s="414"/>
      <c r="H231" s="415"/>
      <c r="I231" s="416"/>
    </row>
    <row r="232" spans="1:9" s="3" customFormat="1" ht="12" customHeight="1" x14ac:dyDescent="0.2">
      <c r="A232" s="82" t="str">
        <f>'Planilha orçamentária'!A189</f>
        <v>6.8.3.4</v>
      </c>
      <c r="B232" s="29">
        <f>'Planilha orçamentária'!B189</f>
        <v>91792</v>
      </c>
      <c r="C232" s="29" t="str">
        <f>'Planilha orçamentária'!C189</f>
        <v>SINAPI</v>
      </c>
      <c r="D232" s="21" t="str">
        <f>'Planilha orçamentária'!D189</f>
        <v>(COMPOSIÇÃO REPRESENTATIVA) DO SERVIÇO DE INSTALAÇÃO DE TUBO DE PVC, SÉRIE NORMAL, ESGOTO PREDIAL, DN 40 MM (INSTALADO EM RAMAL DE DESCARGA OU RAMAL DE ESGOTO SANITÁRIO), INCLUSIVE CONEXÕES, CORTES E FIXAÇÕES, PARA PRÉDIOS. AF_10/2015</v>
      </c>
      <c r="E232" s="21" t="str">
        <f>'Planilha orçamentária'!E189</f>
        <v>M</v>
      </c>
      <c r="F232" s="210">
        <f>13.24+18.2</f>
        <v>31.439999999999998</v>
      </c>
      <c r="G232" s="414"/>
      <c r="H232" s="415"/>
      <c r="I232" s="416"/>
    </row>
    <row r="233" spans="1:9" s="3" customFormat="1" ht="12" customHeight="1" x14ac:dyDescent="0.2">
      <c r="A233" s="82" t="str">
        <f>'Planilha orçamentária'!A190</f>
        <v>6.8.3.5</v>
      </c>
      <c r="B233" s="29">
        <f>'Planilha orçamentária'!B190</f>
        <v>91793</v>
      </c>
      <c r="C233" s="29" t="str">
        <f>'Planilha orçamentária'!C190</f>
        <v>SINAPI</v>
      </c>
      <c r="D233" s="21" t="str">
        <f>'Planilha orçamentária'!D190</f>
        <v>(COMPOSIÇÃO REPRESENTATIVA) DO SERVIÇO DE INSTALAÇÃO DE TUBO DE PVC, SÉRIE NORMAL, ESGOTO PREDIAL, DN 50 MM (INSTALADO EM RAMAL DE DESCARGA OU RAMAL DE ESGOTO SANITÁRIO), INCLUSIVE CONEXÕES, CORTES E FIXAÇÕES PARA, PRÉDIOS. AF_10/2015</v>
      </c>
      <c r="E233" s="21" t="str">
        <f>'Planilha orçamentária'!E190</f>
        <v>M</v>
      </c>
      <c r="F233" s="210">
        <f>9.3+60.08</f>
        <v>69.38</v>
      </c>
      <c r="G233" s="414"/>
      <c r="H233" s="415"/>
      <c r="I233" s="416"/>
    </row>
    <row r="234" spans="1:9" s="3" customFormat="1" ht="12" customHeight="1" x14ac:dyDescent="0.2">
      <c r="A234" s="82" t="str">
        <f>'Planilha orçamentária'!A191</f>
        <v>6.8.3.6</v>
      </c>
      <c r="B234" s="29">
        <f>'Planilha orçamentária'!B191</f>
        <v>91795</v>
      </c>
      <c r="C234" s="29" t="str">
        <f>'Planilha orçamentária'!C191</f>
        <v>SINAPI</v>
      </c>
      <c r="D234" s="21" t="str">
        <f>'Planilha orçamentária'!D191</f>
        <v>(COMPOSIÇÃO REPRESENTATIVA) DO SERVIÇO DE INST. TUBO PVC, SÉRIE N, ESGOTO PREDIAL, 100 MM (INST. RAMAL DESCARGA, RAMAL DE ESG. SANIT., PRUMADA ESG. SANIT., VENTILAÇÃO OU SUB-COLETOR AÉREO), INCL. CONEXÕES E CORTES, FIXAÇÕES, P/ PRÉDIOS. AF_10/2015</v>
      </c>
      <c r="E234" s="21" t="str">
        <f>'Planilha orçamentária'!E191</f>
        <v>M</v>
      </c>
      <c r="F234" s="210">
        <f>56.43+143.26</f>
        <v>199.69</v>
      </c>
      <c r="G234" s="417"/>
      <c r="H234" s="418"/>
      <c r="I234" s="419"/>
    </row>
    <row r="235" spans="1:9" s="3" customFormat="1" ht="15" customHeight="1" x14ac:dyDescent="0.2">
      <c r="A235" s="96" t="str">
        <f>'Planilha orçamentária'!A192</f>
        <v>6.8.4</v>
      </c>
      <c r="B235" s="113"/>
      <c r="C235" s="235"/>
      <c r="D235" s="113" t="str">
        <f>'Planilha orçamentária'!D192</f>
        <v>REGISTRO COM ACABAMENTOS / BOIAS</v>
      </c>
      <c r="E235" s="19"/>
      <c r="F235" s="20"/>
      <c r="G235" s="409"/>
      <c r="H235" s="409"/>
      <c r="I235" s="410"/>
    </row>
    <row r="236" spans="1:9" s="3" customFormat="1" ht="12" customHeight="1" x14ac:dyDescent="0.2">
      <c r="A236" s="82" t="str">
        <f>'Planilha orçamentária'!A193</f>
        <v>6.8.4.1</v>
      </c>
      <c r="B236" s="29">
        <f>'Planilha orçamentária'!B193</f>
        <v>89353</v>
      </c>
      <c r="C236" s="29" t="str">
        <f>'Planilha orçamentária'!C193</f>
        <v>SINAPI</v>
      </c>
      <c r="D236" s="21" t="str">
        <f>'Planilha orçamentária'!D193</f>
        <v>REGISTRO DE GAVETA BRUTO, LATÃO, ROSCÁVEL, 3/4", FORNECIDO E INSTALADO EM RAMAL DE ÁGUA. AF_12/2014</v>
      </c>
      <c r="E236" s="21" t="str">
        <f>'Planilha orçamentária'!E193</f>
        <v>UND</v>
      </c>
      <c r="F236" s="210">
        <f>12+20</f>
        <v>32</v>
      </c>
      <c r="G236" s="411" t="s">
        <v>274</v>
      </c>
      <c r="H236" s="412"/>
      <c r="I236" s="413"/>
    </row>
    <row r="237" spans="1:9" s="3" customFormat="1" ht="12" customHeight="1" x14ac:dyDescent="0.2">
      <c r="A237" s="82" t="str">
        <f>'Planilha orçamentária'!A194</f>
        <v>6.8.4.2</v>
      </c>
      <c r="B237" s="29">
        <f>'Planilha orçamentária'!B194</f>
        <v>94491</v>
      </c>
      <c r="C237" s="29" t="str">
        <f>'Planilha orçamentária'!C194</f>
        <v>SINAPI</v>
      </c>
      <c r="D237" s="21" t="str">
        <f>'Planilha orçamentária'!D194</f>
        <v>REGISTRO DE ESFERA, PVC, SOLDÁVEL, DN 40 MM, INSTALADO EM RESERVAÇÃO DE ÁGUA DE EDIFICAÇÃO QUE POSSUA RESERVATÓRIO DE FIBRA/FIBROCIMENTO FORNECIMENTO E INSTALAÇÃO. AF_06/2016</v>
      </c>
      <c r="E237" s="21" t="str">
        <f>'Planilha orçamentária'!E194</f>
        <v>UND</v>
      </c>
      <c r="F237" s="210">
        <v>5</v>
      </c>
      <c r="G237" s="414"/>
      <c r="H237" s="415"/>
      <c r="I237" s="416"/>
    </row>
    <row r="238" spans="1:9" s="3" customFormat="1" ht="11.25" customHeight="1" x14ac:dyDescent="0.2">
      <c r="A238" s="82" t="str">
        <f>'Planilha orçamentária'!A195</f>
        <v>6.8.4.3</v>
      </c>
      <c r="B238" s="29">
        <f>'Planilha orçamentária'!B195</f>
        <v>94492</v>
      </c>
      <c r="C238" s="29" t="str">
        <f>'Planilha orçamentária'!C195</f>
        <v>SINAPI</v>
      </c>
      <c r="D238" s="21" t="str">
        <f>'Planilha orçamentária'!D195</f>
        <v>REGISTRO DE ESFERA, PVC, SOLDÁVEL, DN 50 MM, INSTALADO EM RESERVAÇÃO DE ÁGUA DE EDIFICAÇÃO QUE POSSUA RESERVATÓRIO DE FIBRA/FIBROCIMENTO FORNECIMENTO E INSTALAÇÃO. AF_06/2016</v>
      </c>
      <c r="E238" s="21" t="str">
        <f>'Planilha orçamentária'!E195</f>
        <v>UND</v>
      </c>
      <c r="F238" s="210">
        <v>2</v>
      </c>
      <c r="G238" s="414"/>
      <c r="H238" s="415"/>
      <c r="I238" s="416"/>
    </row>
    <row r="239" spans="1:9" s="3" customFormat="1" ht="11.25" customHeight="1" x14ac:dyDescent="0.2">
      <c r="A239" s="82" t="str">
        <f>'Planilha orçamentária'!A196</f>
        <v>6.8.4.4</v>
      </c>
      <c r="B239" s="29">
        <f>'Planilha orçamentária'!B196</f>
        <v>8614</v>
      </c>
      <c r="C239" s="29" t="str">
        <f>'Planilha orçamentária'!C196</f>
        <v>ORSE</v>
      </c>
      <c r="D239" s="21" t="str">
        <f>'Planilha orçamentária'!D196</f>
        <v>BOIA AUTOMÁTICA P/CAIXA D´ÁGUA 15AMPERES</v>
      </c>
      <c r="E239" s="21" t="str">
        <f>'Planilha orçamentária'!E196</f>
        <v>UND</v>
      </c>
      <c r="F239" s="210">
        <v>2</v>
      </c>
      <c r="G239" s="417"/>
      <c r="H239" s="418"/>
      <c r="I239" s="419"/>
    </row>
    <row r="240" spans="1:9" s="3" customFormat="1" ht="15" customHeight="1" x14ac:dyDescent="0.2">
      <c r="A240" s="96" t="str">
        <f>'Planilha orçamentária'!A197</f>
        <v>6.8.5</v>
      </c>
      <c r="B240" s="113"/>
      <c r="C240" s="235"/>
      <c r="D240" s="113" t="str">
        <f>'Planilha orçamentária'!D197</f>
        <v>RESERVATÓRIO / CAVALETE DE MEDIÇÃO</v>
      </c>
      <c r="E240" s="19"/>
      <c r="F240" s="20"/>
      <c r="G240" s="422"/>
      <c r="H240" s="422"/>
      <c r="I240" s="423"/>
    </row>
    <row r="241" spans="1:9" s="3" customFormat="1" ht="12" customHeight="1" x14ac:dyDescent="0.2">
      <c r="A241" s="82" t="str">
        <f>'Planilha orçamentária'!A198</f>
        <v>6.8.5.1</v>
      </c>
      <c r="B241" s="29">
        <f>'Planilha orçamentária'!B198</f>
        <v>9</v>
      </c>
      <c r="C241" s="29" t="str">
        <f>'Planilha orçamentária'!C198</f>
        <v>COMP</v>
      </c>
      <c r="D241" s="21" t="str">
        <f>'Planilha orçamentária'!D198</f>
        <v>EXECUÇÃO DE RESERVATÓRIO ELEVADO DE ÁGUA (2000 LITROS). AF_02/2016</v>
      </c>
      <c r="E241" s="21" t="str">
        <f>'Planilha orçamentária'!E198</f>
        <v>UND</v>
      </c>
      <c r="F241" s="210">
        <v>3</v>
      </c>
      <c r="G241" s="411" t="s">
        <v>274</v>
      </c>
      <c r="H241" s="412"/>
      <c r="I241" s="413"/>
    </row>
    <row r="242" spans="1:9" s="3" customFormat="1" ht="12" customHeight="1" x14ac:dyDescent="0.2">
      <c r="A242" s="82" t="str">
        <f>'Planilha orçamentária'!A199</f>
        <v>6.8.5.2</v>
      </c>
      <c r="B242" s="29">
        <f>'Planilha orçamentária'!B199</f>
        <v>97741</v>
      </c>
      <c r="C242" s="29" t="str">
        <f>'Planilha orçamentária'!C199</f>
        <v>SINAPI</v>
      </c>
      <c r="D242" s="21" t="str">
        <f>'Planilha orçamentária'!D199</f>
        <v>KIT CAVALETE PARA MEDIÇÃO DE ÁGUA - ENTRADA INDIVIDUALIZADA, EM PVC DN 25 (¾), PARA 1 MEDIDOR FORNECIMENTO E INSTALAÇÃO (EXCLUSIVE HIDRÔMETRO). AF_11/2016</v>
      </c>
      <c r="E242" s="21" t="str">
        <f>'Planilha orçamentária'!E199</f>
        <v>UND</v>
      </c>
      <c r="F242" s="210">
        <v>1</v>
      </c>
      <c r="G242" s="414"/>
      <c r="H242" s="415"/>
      <c r="I242" s="416"/>
    </row>
    <row r="243" spans="1:9" s="3" customFormat="1" ht="15" customHeight="1" x14ac:dyDescent="0.2">
      <c r="A243" s="96" t="str">
        <f>'Planilha orçamentária'!A200</f>
        <v>6.8.6</v>
      </c>
      <c r="B243" s="113"/>
      <c r="C243" s="235"/>
      <c r="D243" s="113" t="str">
        <f>'Planilha orçamentária'!D200</f>
        <v>CAIXA DE INSPEÇÃO / GORDURA</v>
      </c>
      <c r="E243" s="19"/>
      <c r="F243" s="20"/>
      <c r="G243" s="409"/>
      <c r="H243" s="409"/>
      <c r="I243" s="410"/>
    </row>
    <row r="244" spans="1:9" s="3" customFormat="1" ht="12" customHeight="1" x14ac:dyDescent="0.2">
      <c r="A244" s="82" t="str">
        <f>'Planilha orçamentária'!A201</f>
        <v>6.8.6.1</v>
      </c>
      <c r="B244" s="29">
        <f>'Planilha orçamentária'!B201</f>
        <v>4883</v>
      </c>
      <c r="C244" s="29" t="str">
        <f>'Planilha orçamentária'!C201</f>
        <v>ORSE</v>
      </c>
      <c r="D244" s="21" t="str">
        <f>'Planilha orçamentária'!D201</f>
        <v xml:space="preserve">	Caixa de inspeção 0.60 x 0.60 x 0.60m</v>
      </c>
      <c r="E244" s="21" t="str">
        <f>'Planilha orçamentária'!E201</f>
        <v>UND</v>
      </c>
      <c r="F244" s="210">
        <v>19</v>
      </c>
      <c r="G244" s="411" t="s">
        <v>274</v>
      </c>
      <c r="H244" s="412"/>
      <c r="I244" s="413"/>
    </row>
    <row r="245" spans="1:9" s="3" customFormat="1" ht="12" customHeight="1" x14ac:dyDescent="0.2">
      <c r="A245" s="82" t="str">
        <f>'Planilha orçamentária'!A202</f>
        <v>6.8.6.2</v>
      </c>
      <c r="B245" s="29">
        <f>'Planilha orçamentária'!B202</f>
        <v>1691</v>
      </c>
      <c r="C245" s="29" t="str">
        <f>'Planilha orçamentária'!C202</f>
        <v>ORSE</v>
      </c>
      <c r="D245" s="21" t="str">
        <f>'Planilha orçamentária'!D202</f>
        <v xml:space="preserve">	Caixa de gordura - "cg" - (50 x 50 x 65cm)</v>
      </c>
      <c r="E245" s="21" t="str">
        <f>'Planilha orçamentária'!E202</f>
        <v>UND</v>
      </c>
      <c r="F245" s="302">
        <v>1</v>
      </c>
      <c r="G245" s="414"/>
      <c r="H245" s="415"/>
      <c r="I245" s="416"/>
    </row>
    <row r="246" spans="1:9" s="3" customFormat="1" ht="12" customHeight="1" x14ac:dyDescent="0.2">
      <c r="A246" s="113" t="str">
        <f>'Planilha orçamentária'!A203</f>
        <v>6.9</v>
      </c>
      <c r="B246" s="235"/>
      <c r="C246" s="235"/>
      <c r="D246" s="113" t="str">
        <f>'Planilha orçamentária'!D203</f>
        <v>INSTALAÇÃO DE ÁGUAS PLUVIAIS</v>
      </c>
      <c r="E246" s="235"/>
      <c r="F246" s="113"/>
      <c r="G246" s="303"/>
      <c r="H246" s="303"/>
      <c r="I246" s="304"/>
    </row>
    <row r="247" spans="1:9" s="3" customFormat="1" ht="12" customHeight="1" x14ac:dyDescent="0.2">
      <c r="A247" s="21" t="str">
        <f>'Planilha orçamentária'!A204</f>
        <v>6.9.1</v>
      </c>
      <c r="B247" s="21">
        <f>'Planilha orçamentária'!B204</f>
        <v>94227</v>
      </c>
      <c r="C247" s="21" t="str">
        <f>'Planilha orçamentária'!C204</f>
        <v>SINAPI</v>
      </c>
      <c r="D247" s="21" t="str">
        <f>'Planilha orçamentária'!D204</f>
        <v>CALHA EM CHAPA DE AÇO GALVANIZADO NÚMERO 24, DESENVOLVIMENTO DE 33 CM, INCLUSO TRANSPORTE VERTICAL. AF_07/2019</v>
      </c>
      <c r="E247" s="21" t="str">
        <f>'Planilha orçamentária'!E204</f>
        <v>m</v>
      </c>
      <c r="F247" s="245">
        <f>49.92+18</f>
        <v>67.92</v>
      </c>
      <c r="G247" s="263"/>
      <c r="H247" s="264"/>
      <c r="I247" s="265"/>
    </row>
    <row r="248" spans="1:9" s="3" customFormat="1" ht="12" customHeight="1" x14ac:dyDescent="0.2">
      <c r="A248" s="21" t="str">
        <f>'Planilha orçamentária'!A205</f>
        <v>6.9.2</v>
      </c>
      <c r="B248" s="21">
        <f>'Planilha orçamentária'!B205</f>
        <v>4283</v>
      </c>
      <c r="C248" s="21" t="str">
        <f>'Planilha orçamentária'!C205</f>
        <v>ORSE</v>
      </c>
      <c r="D248" s="21" t="str">
        <f>'Planilha orçamentária'!D205</f>
        <v xml:space="preserve">	Ralo hemisférico em fº fº, tipo abacaxi Ø 100mm</v>
      </c>
      <c r="E248" s="21" t="str">
        <f>'Planilha orçamentária'!E205</f>
        <v>UND</v>
      </c>
      <c r="F248" s="245">
        <v>1</v>
      </c>
      <c r="G248" s="277"/>
      <c r="H248" s="278"/>
      <c r="I248" s="279"/>
    </row>
    <row r="249" spans="1:9" s="3" customFormat="1" ht="12" customHeight="1" x14ac:dyDescent="0.2">
      <c r="A249" s="21" t="str">
        <f>'Planilha orçamentária'!A206</f>
        <v>6.9.3</v>
      </c>
      <c r="B249" s="21">
        <f>'Planilha orçamentária'!B206</f>
        <v>7752</v>
      </c>
      <c r="C249" s="21" t="str">
        <f>'Planilha orçamentária'!C206</f>
        <v>ORSE</v>
      </c>
      <c r="D249" s="21" t="str">
        <f>'Planilha orçamentária'!D206</f>
        <v>Ralo hemisférico em ferro fundido tipo abacaxi, DN=150mm</v>
      </c>
      <c r="E249" s="21" t="str">
        <f>'Planilha orçamentária'!E206</f>
        <v>UND</v>
      </c>
      <c r="F249" s="245">
        <v>1</v>
      </c>
      <c r="G249" s="277"/>
      <c r="H249" s="278"/>
      <c r="I249" s="279"/>
    </row>
    <row r="250" spans="1:9" s="3" customFormat="1" ht="12" customHeight="1" x14ac:dyDescent="0.2">
      <c r="A250" s="21" t="str">
        <f>'Planilha orçamentária'!A207</f>
        <v>6.9.4</v>
      </c>
      <c r="B250" s="21">
        <f>'Planilha orçamentária'!B207</f>
        <v>91790</v>
      </c>
      <c r="C250" s="21" t="str">
        <f>'Planilha orçamentária'!C207</f>
        <v>SINAPI</v>
      </c>
      <c r="D250" s="21" t="str">
        <f>'Planilha orçamentária'!D207</f>
        <v>(COMPOSIÇÃO REPRESENTATIVA) DO SERVIÇO DE INSTALAÇÃO DE TUBOS DE PVC, SÉRIE R, ÁGUA PLUVIAL, DN 100 MM (INSTALADO EM RAMAL DE ENCAMINHAMENTO, OU CONDUTORES VERTICAIS), INCLUSIVE CONEXÕES, CORTES E FIXAÇÕES, PARA PRÉDIOS. AF_10/2015</v>
      </c>
      <c r="E250" s="21" t="str">
        <f>'Planilha orçamentária'!E207</f>
        <v>m</v>
      </c>
      <c r="F250" s="245">
        <f>2.6+3.38+9.77+9.15+2.79+7.04</f>
        <v>34.729999999999997</v>
      </c>
      <c r="G250" s="277"/>
      <c r="H250" s="278"/>
      <c r="I250" s="279"/>
    </row>
    <row r="251" spans="1:9" s="3" customFormat="1" ht="12" customHeight="1" x14ac:dyDescent="0.2">
      <c r="A251" s="21" t="str">
        <f>'Planilha orçamentária'!A208</f>
        <v>6.9.5</v>
      </c>
      <c r="B251" s="21">
        <f>'Planilha orçamentária'!B208</f>
        <v>91791</v>
      </c>
      <c r="C251" s="21" t="str">
        <f>'Planilha orçamentária'!C208</f>
        <v>SINAPI</v>
      </c>
      <c r="D251" s="21" t="str">
        <f>'Planilha orçamentária'!D208</f>
        <v>(COMPOSIÇÃO REPRESENTATIVA) DO SERVIÇO DE INSTALAÇÃO DE TUBOS DE PVC, SÉRIE R, ÁGUA PLUVIAL, DN 150 MM (INSTALADO EM CONDUTORES VERTICAIS), INCLUSIVE CONEXÕES, CORTES E FIXAÇÕES, PARA PRÉDIOS. AF_10/2015</v>
      </c>
      <c r="E251" s="21" t="str">
        <f>'Planilha orçamentária'!E208</f>
        <v>m</v>
      </c>
      <c r="F251" s="245">
        <f>2.6+6.55+2.44</f>
        <v>11.59</v>
      </c>
      <c r="G251" s="263"/>
      <c r="H251" s="264"/>
      <c r="I251" s="265"/>
    </row>
    <row r="252" spans="1:9" x14ac:dyDescent="0.25">
      <c r="A252" s="4"/>
      <c r="B252" s="51"/>
      <c r="C252" s="51"/>
      <c r="D252" s="4"/>
      <c r="E252" s="4"/>
      <c r="F252" s="4"/>
      <c r="G252" s="4"/>
      <c r="H252" s="4"/>
      <c r="I252" s="4"/>
    </row>
    <row r="253" spans="1:9" x14ac:dyDescent="0.25">
      <c r="A253" s="4"/>
      <c r="B253" s="51"/>
      <c r="C253" s="51"/>
      <c r="D253" s="4"/>
      <c r="E253" s="4"/>
      <c r="F253" s="434"/>
      <c r="G253" s="434"/>
      <c r="H253" s="363"/>
      <c r="I253" s="363"/>
    </row>
    <row r="254" spans="1:9" x14ac:dyDescent="0.25">
      <c r="A254" s="4"/>
      <c r="B254" s="51"/>
      <c r="C254" s="51"/>
      <c r="D254" s="4"/>
      <c r="E254" s="4"/>
      <c r="F254" s="434"/>
      <c r="G254" s="434"/>
      <c r="H254" s="363"/>
      <c r="I254" s="363"/>
    </row>
    <row r="255" spans="1:9" x14ac:dyDescent="0.25">
      <c r="A255" s="4"/>
      <c r="B255" s="51"/>
      <c r="C255" s="51"/>
      <c r="D255" s="4"/>
      <c r="E255" s="4"/>
      <c r="F255" s="434"/>
      <c r="G255" s="434"/>
      <c r="H255" s="363"/>
      <c r="I255" s="363"/>
    </row>
    <row r="256" spans="1:9" ht="39.950000000000003" customHeight="1" x14ac:dyDescent="0.25">
      <c r="A256" s="350" t="s">
        <v>55</v>
      </c>
      <c r="B256" s="350"/>
      <c r="C256" s="350"/>
      <c r="D256" s="350"/>
      <c r="E256" s="350"/>
      <c r="F256" s="350"/>
      <c r="G256" s="350"/>
      <c r="H256" s="350"/>
      <c r="I256" s="350"/>
    </row>
  </sheetData>
  <mergeCells count="50">
    <mergeCell ref="G163:I163"/>
    <mergeCell ref="A256:I256"/>
    <mergeCell ref="F255:G255"/>
    <mergeCell ref="H255:I255"/>
    <mergeCell ref="F253:G253"/>
    <mergeCell ref="H253:I253"/>
    <mergeCell ref="F254:G254"/>
    <mergeCell ref="H254:I254"/>
    <mergeCell ref="G169:I169"/>
    <mergeCell ref="G164:I164"/>
    <mergeCell ref="G168:I168"/>
    <mergeCell ref="G165:I167"/>
    <mergeCell ref="G209:I221"/>
    <mergeCell ref="G223:I227"/>
    <mergeCell ref="G229:I234"/>
    <mergeCell ref="G244:I245"/>
    <mergeCell ref="G187:I187"/>
    <mergeCell ref="G186:I186"/>
    <mergeCell ref="G188:I195"/>
    <mergeCell ref="G197:I201"/>
    <mergeCell ref="G235:I235"/>
    <mergeCell ref="G228:I228"/>
    <mergeCell ref="G222:I222"/>
    <mergeCell ref="G243:I243"/>
    <mergeCell ref="G236:I239"/>
    <mergeCell ref="G241:I242"/>
    <mergeCell ref="G207:I208"/>
    <mergeCell ref="G196:I196"/>
    <mergeCell ref="G240:I240"/>
    <mergeCell ref="A3:I3"/>
    <mergeCell ref="G43:I43"/>
    <mergeCell ref="G37:I37"/>
    <mergeCell ref="A1:D1"/>
    <mergeCell ref="E1:F1"/>
    <mergeCell ref="H1:I1"/>
    <mergeCell ref="A2:D2"/>
    <mergeCell ref="E2:F2"/>
    <mergeCell ref="H2:I2"/>
    <mergeCell ref="G75:I75"/>
    <mergeCell ref="G145:I146"/>
    <mergeCell ref="G161:I162"/>
    <mergeCell ref="G45:I50"/>
    <mergeCell ref="G4:I4"/>
    <mergeCell ref="G109:I109"/>
    <mergeCell ref="G62:I62"/>
    <mergeCell ref="G51:I51"/>
    <mergeCell ref="G66:I66"/>
    <mergeCell ref="G102:I105"/>
    <mergeCell ref="G79:I84"/>
    <mergeCell ref="G144:I144"/>
  </mergeCells>
  <phoneticPr fontId="4" type="noConversion"/>
  <pageMargins left="0.59055118110236227" right="0.39370078740157483" top="0.78740157480314965" bottom="0.59055118110236227" header="0.31496062992125984" footer="0.31496062992125984"/>
  <pageSetup paperSize="9" scale="57" fitToHeight="0" orientation="portrait" horizontalDpi="360" verticalDpi="360" r:id="rId1"/>
  <headerFooter>
    <oddFooter>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P84"/>
  <sheetViews>
    <sheetView zoomScaleNormal="100" workbookViewId="0">
      <selection activeCell="H84" sqref="A1:H84"/>
    </sheetView>
  </sheetViews>
  <sheetFormatPr defaultColWidth="9.140625" defaultRowHeight="15" x14ac:dyDescent="0.25"/>
  <cols>
    <col min="1" max="1" width="9.7109375" customWidth="1"/>
    <col min="2" max="2" width="11.7109375" style="52" customWidth="1"/>
    <col min="3" max="3" width="9.7109375" customWidth="1"/>
    <col min="4" max="4" width="58.5703125" customWidth="1"/>
    <col min="5" max="5" width="17" style="59" customWidth="1"/>
    <col min="6" max="8" width="13.7109375" customWidth="1"/>
    <col min="9" max="9" width="12.5703125" bestFit="1" customWidth="1"/>
  </cols>
  <sheetData>
    <row r="1" spans="1:9" x14ac:dyDescent="0.25">
      <c r="A1" s="355"/>
      <c r="B1" s="356"/>
      <c r="C1" s="356"/>
      <c r="D1" s="356"/>
      <c r="E1" s="110" t="s">
        <v>38</v>
      </c>
      <c r="F1" s="110" t="s">
        <v>33</v>
      </c>
      <c r="G1" s="448" t="s">
        <v>24</v>
      </c>
      <c r="H1" s="449"/>
      <c r="I1" s="66"/>
    </row>
    <row r="2" spans="1:9" ht="114.75" customHeight="1" x14ac:dyDescent="0.25">
      <c r="A2" s="358" t="s">
        <v>53</v>
      </c>
      <c r="B2" s="359"/>
      <c r="C2" s="359"/>
      <c r="D2" s="359"/>
      <c r="E2" s="111" t="str">
        <f>'Planilha orçamentária'!E2</f>
        <v xml:space="preserve">SINAPI - 08/2019 - AL
ORSE - 07/2019 - SE
</v>
      </c>
      <c r="F2" s="106">
        <f>'Memória de Cálculo '!G2</f>
        <v>0.27929999999999999</v>
      </c>
      <c r="G2" s="450" t="s">
        <v>69</v>
      </c>
      <c r="H2" s="451"/>
      <c r="I2" s="66"/>
    </row>
    <row r="3" spans="1:9" ht="24" customHeight="1" x14ac:dyDescent="0.25">
      <c r="A3" s="351" t="s">
        <v>70</v>
      </c>
      <c r="B3" s="352"/>
      <c r="C3" s="352"/>
      <c r="D3" s="352"/>
      <c r="E3" s="54"/>
      <c r="F3" s="107"/>
      <c r="G3" s="452"/>
      <c r="H3" s="453"/>
      <c r="I3" s="66"/>
    </row>
    <row r="4" spans="1:9" ht="15.75" thickBot="1" x14ac:dyDescent="0.3">
      <c r="A4" s="446" t="str">
        <f>'Planilha orçamentária'!A4:D4</f>
        <v>CONSTRUÇÃO DE COMPLEXO ESPORTIVO NO MUNICÍPIO DE LAGOA DA CANOA - AL</v>
      </c>
      <c r="B4" s="447"/>
      <c r="C4" s="447"/>
      <c r="D4" s="447"/>
      <c r="E4" s="54"/>
      <c r="F4" s="107"/>
      <c r="G4" s="452"/>
      <c r="H4" s="453"/>
      <c r="I4" s="66"/>
    </row>
    <row r="5" spans="1:9" ht="15" customHeight="1" thickBot="1" x14ac:dyDescent="0.3">
      <c r="A5" s="30" t="s">
        <v>37</v>
      </c>
      <c r="B5" s="49"/>
      <c r="C5" s="31"/>
      <c r="D5" s="31"/>
      <c r="E5" s="16"/>
      <c r="F5" s="31"/>
      <c r="G5" s="444"/>
      <c r="H5" s="445"/>
      <c r="I5" s="66"/>
    </row>
    <row r="6" spans="1:9" s="1" customFormat="1" ht="22.5" customHeight="1" x14ac:dyDescent="0.2">
      <c r="A6" s="101" t="s">
        <v>29</v>
      </c>
      <c r="B6" s="50" t="s">
        <v>19</v>
      </c>
      <c r="C6" s="7" t="s">
        <v>5</v>
      </c>
      <c r="D6" s="7" t="s">
        <v>13</v>
      </c>
      <c r="E6" s="61" t="s">
        <v>9</v>
      </c>
      <c r="F6" s="62" t="s">
        <v>26</v>
      </c>
      <c r="G6" s="68" t="s">
        <v>48</v>
      </c>
      <c r="H6" s="102" t="s">
        <v>71</v>
      </c>
      <c r="I6" s="67"/>
    </row>
    <row r="7" spans="1:9" s="3" customFormat="1" ht="34.5" customHeight="1" x14ac:dyDescent="0.2">
      <c r="A7" s="80"/>
      <c r="B7" s="39">
        <v>1</v>
      </c>
      <c r="C7" s="36" t="s">
        <v>76</v>
      </c>
      <c r="D7" s="36" t="s">
        <v>481</v>
      </c>
      <c r="E7" s="56" t="s">
        <v>173</v>
      </c>
      <c r="F7" s="63" t="s">
        <v>72</v>
      </c>
      <c r="G7" s="64"/>
      <c r="H7" s="103">
        <f>SUM(H8:H12)</f>
        <v>64.709309999999988</v>
      </c>
      <c r="I7" s="312"/>
    </row>
    <row r="8" spans="1:9" s="3" customFormat="1" ht="11.25" x14ac:dyDescent="0.2">
      <c r="A8" s="82"/>
      <c r="B8" s="29">
        <v>88315</v>
      </c>
      <c r="C8" s="21" t="s">
        <v>12</v>
      </c>
      <c r="D8" s="44" t="s">
        <v>186</v>
      </c>
      <c r="E8" s="22" t="s">
        <v>174</v>
      </c>
      <c r="F8" s="72">
        <v>0.5</v>
      </c>
      <c r="G8" s="37">
        <v>16.48</v>
      </c>
      <c r="H8" s="104">
        <f>F8*G8</f>
        <v>8.24</v>
      </c>
    </row>
    <row r="9" spans="1:9" s="3" customFormat="1" ht="11.25" x14ac:dyDescent="0.2">
      <c r="A9" s="82"/>
      <c r="B9" s="29">
        <v>88316</v>
      </c>
      <c r="C9" s="21" t="s">
        <v>12</v>
      </c>
      <c r="D9" s="44" t="s">
        <v>162</v>
      </c>
      <c r="E9" s="22" t="s">
        <v>174</v>
      </c>
      <c r="F9" s="72">
        <v>0.5</v>
      </c>
      <c r="G9" s="37">
        <v>12.95</v>
      </c>
      <c r="H9" s="104">
        <f t="shared" ref="H9:H12" si="0">F9*G9</f>
        <v>6.4749999999999996</v>
      </c>
    </row>
    <row r="10" spans="1:9" s="3" customFormat="1" ht="22.5" x14ac:dyDescent="0.2">
      <c r="A10" s="82"/>
      <c r="B10" s="29">
        <v>7167</v>
      </c>
      <c r="C10" s="21" t="s">
        <v>12</v>
      </c>
      <c r="D10" s="44" t="s">
        <v>482</v>
      </c>
      <c r="E10" s="22" t="s">
        <v>6</v>
      </c>
      <c r="F10" s="72">
        <v>1.05</v>
      </c>
      <c r="G10" s="37">
        <v>16.09</v>
      </c>
      <c r="H10" s="104">
        <f t="shared" si="0"/>
        <v>16.894500000000001</v>
      </c>
    </row>
    <row r="11" spans="1:9" s="3" customFormat="1" ht="22.5" x14ac:dyDescent="0.2">
      <c r="A11" s="82"/>
      <c r="B11" s="29">
        <v>7696</v>
      </c>
      <c r="C11" s="21" t="s">
        <v>12</v>
      </c>
      <c r="D11" s="44" t="s">
        <v>185</v>
      </c>
      <c r="E11" s="22" t="s">
        <v>122</v>
      </c>
      <c r="F11" s="72">
        <v>0.69</v>
      </c>
      <c r="G11" s="37">
        <v>41.29</v>
      </c>
      <c r="H11" s="104">
        <f t="shared" si="0"/>
        <v>28.490099999999998</v>
      </c>
    </row>
    <row r="12" spans="1:9" s="3" customFormat="1" ht="22.5" x14ac:dyDescent="0.2">
      <c r="A12" s="82"/>
      <c r="B12" s="29">
        <v>94970</v>
      </c>
      <c r="C12" s="21" t="s">
        <v>12</v>
      </c>
      <c r="D12" s="44" t="s">
        <v>483</v>
      </c>
      <c r="E12" s="22" t="s">
        <v>175</v>
      </c>
      <c r="F12" s="72">
        <v>1.575E-2</v>
      </c>
      <c r="G12" s="37">
        <v>292.68</v>
      </c>
      <c r="H12" s="104">
        <f t="shared" si="0"/>
        <v>4.6097099999999998</v>
      </c>
    </row>
    <row r="13" spans="1:9" s="3" customFormat="1" ht="11.25" x14ac:dyDescent="0.2">
      <c r="A13" s="80"/>
      <c r="B13" s="39">
        <v>2</v>
      </c>
      <c r="C13" s="36" t="s">
        <v>76</v>
      </c>
      <c r="D13" s="36" t="s">
        <v>170</v>
      </c>
      <c r="E13" s="56" t="s">
        <v>2</v>
      </c>
      <c r="F13" s="73"/>
      <c r="G13" s="64"/>
      <c r="H13" s="103">
        <f>SUM(H14:H16)</f>
        <v>12.617000000000001</v>
      </c>
    </row>
    <row r="14" spans="1:9" s="3" customFormat="1" ht="22.5" x14ac:dyDescent="0.2">
      <c r="A14" s="82"/>
      <c r="B14" s="21" t="s">
        <v>171</v>
      </c>
      <c r="C14" s="21" t="s">
        <v>12</v>
      </c>
      <c r="D14" s="44" t="s">
        <v>172</v>
      </c>
      <c r="E14" s="22" t="s">
        <v>2</v>
      </c>
      <c r="F14" s="72">
        <v>1.1000000000000001</v>
      </c>
      <c r="G14" s="37">
        <v>9.94</v>
      </c>
      <c r="H14" s="104">
        <f>F14*G14</f>
        <v>10.934000000000001</v>
      </c>
    </row>
    <row r="15" spans="1:9" s="3" customFormat="1" ht="11.25" x14ac:dyDescent="0.2">
      <c r="A15" s="82"/>
      <c r="B15" s="21" t="s">
        <v>74</v>
      </c>
      <c r="C15" s="21" t="s">
        <v>12</v>
      </c>
      <c r="D15" s="44" t="s">
        <v>75</v>
      </c>
      <c r="E15" s="22" t="s">
        <v>73</v>
      </c>
      <c r="F15" s="72">
        <v>0.02</v>
      </c>
      <c r="G15" s="37">
        <v>19.399999999999999</v>
      </c>
      <c r="H15" s="104">
        <f t="shared" ref="H15:H16" si="1">F15*G15</f>
        <v>0.38799999999999996</v>
      </c>
    </row>
    <row r="16" spans="1:9" s="3" customFormat="1" ht="11.25" customHeight="1" x14ac:dyDescent="0.2">
      <c r="A16" s="82"/>
      <c r="B16" s="29">
        <v>88316</v>
      </c>
      <c r="C16" s="21" t="s">
        <v>12</v>
      </c>
      <c r="D16" s="44" t="s">
        <v>162</v>
      </c>
      <c r="E16" s="22" t="s">
        <v>73</v>
      </c>
      <c r="F16" s="72">
        <v>0.1</v>
      </c>
      <c r="G16" s="37">
        <v>12.95</v>
      </c>
      <c r="H16" s="104">
        <f t="shared" si="1"/>
        <v>1.2949999999999999</v>
      </c>
    </row>
    <row r="17" spans="1:8" s="3" customFormat="1" ht="22.5" x14ac:dyDescent="0.2">
      <c r="A17" s="80"/>
      <c r="B17" s="39">
        <v>3</v>
      </c>
      <c r="C17" s="36" t="s">
        <v>76</v>
      </c>
      <c r="D17" s="36" t="s">
        <v>178</v>
      </c>
      <c r="E17" s="56" t="s">
        <v>6</v>
      </c>
      <c r="F17" s="73"/>
      <c r="G17" s="64"/>
      <c r="H17" s="103">
        <f>SUM(H18:H22)</f>
        <v>8.2889999999999997</v>
      </c>
    </row>
    <row r="18" spans="1:8" s="3" customFormat="1" ht="11.25" x14ac:dyDescent="0.2">
      <c r="A18" s="82"/>
      <c r="B18" s="29">
        <v>370</v>
      </c>
      <c r="C18" s="21" t="s">
        <v>12</v>
      </c>
      <c r="D18" s="44" t="s">
        <v>157</v>
      </c>
      <c r="E18" s="22" t="s">
        <v>7</v>
      </c>
      <c r="F18" s="72">
        <f>0.5*0.12</f>
        <v>0.06</v>
      </c>
      <c r="G18" s="37">
        <v>67</v>
      </c>
      <c r="H18" s="104">
        <f>F18*G18</f>
        <v>4.0199999999999996</v>
      </c>
    </row>
    <row r="19" spans="1:8" s="3" customFormat="1" ht="12" customHeight="1" x14ac:dyDescent="0.2">
      <c r="A19" s="82"/>
      <c r="B19" s="29">
        <v>7253</v>
      </c>
      <c r="C19" s="21" t="s">
        <v>12</v>
      </c>
      <c r="D19" s="44" t="s">
        <v>166</v>
      </c>
      <c r="E19" s="22" t="s">
        <v>7</v>
      </c>
      <c r="F19" s="72">
        <f>0.5*0.08</f>
        <v>0.04</v>
      </c>
      <c r="G19" s="47">
        <v>57.85</v>
      </c>
      <c r="H19" s="104">
        <f t="shared" ref="H19:H20" si="2">F19*G19</f>
        <v>2.3140000000000001</v>
      </c>
    </row>
    <row r="20" spans="1:8" s="3" customFormat="1" ht="11.25" x14ac:dyDescent="0.2">
      <c r="A20" s="82"/>
      <c r="B20" s="29">
        <v>3123</v>
      </c>
      <c r="C20" s="21" t="s">
        <v>12</v>
      </c>
      <c r="D20" s="44" t="s">
        <v>167</v>
      </c>
      <c r="E20" s="22" t="s">
        <v>169</v>
      </c>
      <c r="F20" s="72">
        <f>0.5*0.1</f>
        <v>0.05</v>
      </c>
      <c r="G20" s="37">
        <v>1.7</v>
      </c>
      <c r="H20" s="104">
        <f t="shared" si="2"/>
        <v>8.5000000000000006E-2</v>
      </c>
    </row>
    <row r="21" spans="1:8" s="3" customFormat="1" ht="11.25" x14ac:dyDescent="0.2">
      <c r="A21" s="82"/>
      <c r="B21" s="29">
        <v>38125</v>
      </c>
      <c r="C21" s="21" t="s">
        <v>12</v>
      </c>
      <c r="D21" s="44" t="s">
        <v>168</v>
      </c>
      <c r="E21" s="22" t="s">
        <v>169</v>
      </c>
      <c r="F21" s="72">
        <f>0.5*2.5</f>
        <v>1.25</v>
      </c>
      <c r="G21" s="37">
        <v>0.46</v>
      </c>
      <c r="H21" s="104">
        <f>F21*G21</f>
        <v>0.57500000000000007</v>
      </c>
    </row>
    <row r="22" spans="1:8" s="3" customFormat="1" ht="11.25" x14ac:dyDescent="0.2">
      <c r="A22" s="82"/>
      <c r="B22" s="29">
        <v>88316</v>
      </c>
      <c r="C22" s="21" t="s">
        <v>12</v>
      </c>
      <c r="D22" s="44" t="s">
        <v>162</v>
      </c>
      <c r="E22" s="22" t="s">
        <v>73</v>
      </c>
      <c r="F22" s="72">
        <f>0.5*0.2</f>
        <v>0.1</v>
      </c>
      <c r="G22" s="37">
        <v>12.95</v>
      </c>
      <c r="H22" s="104">
        <f t="shared" ref="H22" si="3">F22*G22</f>
        <v>1.2949999999999999</v>
      </c>
    </row>
    <row r="23" spans="1:8" s="3" customFormat="1" ht="11.25" x14ac:dyDescent="0.2">
      <c r="A23" s="80"/>
      <c r="B23" s="39">
        <v>4</v>
      </c>
      <c r="C23" s="36" t="s">
        <v>76</v>
      </c>
      <c r="D23" s="36" t="s">
        <v>95</v>
      </c>
      <c r="E23" s="56" t="s">
        <v>20</v>
      </c>
      <c r="F23" s="73"/>
      <c r="G23" s="64"/>
      <c r="H23" s="103">
        <f>SUM(H24:H30)</f>
        <v>132.74043</v>
      </c>
    </row>
    <row r="24" spans="1:8" s="3" customFormat="1" ht="11.25" x14ac:dyDescent="0.2">
      <c r="A24" s="82"/>
      <c r="B24" s="29">
        <v>2602</v>
      </c>
      <c r="C24" s="21" t="s">
        <v>23</v>
      </c>
      <c r="D24" s="44" t="s">
        <v>163</v>
      </c>
      <c r="E24" s="22" t="s">
        <v>20</v>
      </c>
      <c r="F24" s="72">
        <v>1</v>
      </c>
      <c r="G24" s="37">
        <v>63.9</v>
      </c>
      <c r="H24" s="104">
        <f>F24*G24</f>
        <v>63.9</v>
      </c>
    </row>
    <row r="25" spans="1:8" s="3" customFormat="1" ht="12" customHeight="1" x14ac:dyDescent="0.2">
      <c r="A25" s="82"/>
      <c r="B25" s="29">
        <v>370</v>
      </c>
      <c r="C25" s="21" t="s">
        <v>12</v>
      </c>
      <c r="D25" s="44" t="s">
        <v>157</v>
      </c>
      <c r="E25" s="22" t="s">
        <v>164</v>
      </c>
      <c r="F25" s="72">
        <v>0.11</v>
      </c>
      <c r="G25" s="37">
        <v>67</v>
      </c>
      <c r="H25" s="104">
        <f t="shared" ref="H25:H26" si="4">F25*G25</f>
        <v>7.37</v>
      </c>
    </row>
    <row r="26" spans="1:8" s="3" customFormat="1" ht="11.25" x14ac:dyDescent="0.2">
      <c r="A26" s="82"/>
      <c r="B26" s="29">
        <v>1382</v>
      </c>
      <c r="C26" s="21" t="s">
        <v>12</v>
      </c>
      <c r="D26" s="44" t="s">
        <v>158</v>
      </c>
      <c r="E26" s="22" t="s">
        <v>165</v>
      </c>
      <c r="F26" s="72">
        <v>0.41</v>
      </c>
      <c r="G26" s="37">
        <v>23.12</v>
      </c>
      <c r="H26" s="104">
        <f t="shared" si="4"/>
        <v>9.4792000000000005</v>
      </c>
    </row>
    <row r="27" spans="1:8" s="3" customFormat="1" ht="11.25" x14ac:dyDescent="0.2">
      <c r="A27" s="82"/>
      <c r="B27" s="29">
        <v>4721</v>
      </c>
      <c r="C27" s="21" t="s">
        <v>12</v>
      </c>
      <c r="D27" s="44" t="s">
        <v>159</v>
      </c>
      <c r="E27" s="22" t="s">
        <v>164</v>
      </c>
      <c r="F27" s="72">
        <v>3.1E-2</v>
      </c>
      <c r="G27" s="37">
        <v>69.23</v>
      </c>
      <c r="H27" s="104">
        <f>F27*G27</f>
        <v>2.1461300000000003</v>
      </c>
    </row>
    <row r="28" spans="1:8" s="3" customFormat="1" ht="11.25" x14ac:dyDescent="0.2">
      <c r="A28" s="82"/>
      <c r="B28" s="29">
        <v>7271</v>
      </c>
      <c r="C28" s="21" t="s">
        <v>12</v>
      </c>
      <c r="D28" s="44" t="s">
        <v>160</v>
      </c>
      <c r="E28" s="22" t="s">
        <v>20</v>
      </c>
      <c r="F28" s="72">
        <v>20</v>
      </c>
      <c r="G28" s="37">
        <v>0.34</v>
      </c>
      <c r="H28" s="104">
        <f t="shared" ref="H28:H30" si="5">F28*G28</f>
        <v>6.8000000000000007</v>
      </c>
    </row>
    <row r="29" spans="1:8" s="3" customFormat="1" ht="11.25" x14ac:dyDescent="0.2">
      <c r="A29" s="82"/>
      <c r="B29" s="29">
        <v>88309</v>
      </c>
      <c r="C29" s="21" t="s">
        <v>12</v>
      </c>
      <c r="D29" s="44" t="s">
        <v>161</v>
      </c>
      <c r="E29" s="22" t="s">
        <v>73</v>
      </c>
      <c r="F29" s="72">
        <v>0.98</v>
      </c>
      <c r="G29" s="37">
        <v>16.57</v>
      </c>
      <c r="H29" s="104">
        <f t="shared" si="5"/>
        <v>16.238600000000002</v>
      </c>
    </row>
    <row r="30" spans="1:8" s="3" customFormat="1" ht="11.25" customHeight="1" x14ac:dyDescent="0.2">
      <c r="A30" s="82"/>
      <c r="B30" s="29">
        <v>88316</v>
      </c>
      <c r="C30" s="21" t="s">
        <v>12</v>
      </c>
      <c r="D30" s="44" t="s">
        <v>162</v>
      </c>
      <c r="E30" s="22" t="s">
        <v>73</v>
      </c>
      <c r="F30" s="72">
        <v>2.0699999999999998</v>
      </c>
      <c r="G30" s="37">
        <v>12.95</v>
      </c>
      <c r="H30" s="104">
        <f t="shared" si="5"/>
        <v>26.806499999999996</v>
      </c>
    </row>
    <row r="31" spans="1:8" s="3" customFormat="1" ht="11.25" x14ac:dyDescent="0.2">
      <c r="A31" s="80"/>
      <c r="B31" s="39">
        <v>6</v>
      </c>
      <c r="C31" s="36" t="s">
        <v>76</v>
      </c>
      <c r="D31" s="36" t="s">
        <v>196</v>
      </c>
      <c r="E31" s="56" t="s">
        <v>184</v>
      </c>
      <c r="F31" s="63" t="s">
        <v>72</v>
      </c>
      <c r="G31" s="64"/>
      <c r="H31" s="103">
        <f>SUM(H32:H36)</f>
        <v>6.2892260000000002</v>
      </c>
    </row>
    <row r="32" spans="1:8" s="3" customFormat="1" ht="11.25" x14ac:dyDescent="0.2">
      <c r="A32" s="82"/>
      <c r="B32" s="222">
        <v>337</v>
      </c>
      <c r="C32" s="21" t="s">
        <v>12</v>
      </c>
      <c r="D32" s="44" t="s">
        <v>191</v>
      </c>
      <c r="E32" s="22" t="s">
        <v>184</v>
      </c>
      <c r="F32" s="72">
        <v>2.5000000000000001E-2</v>
      </c>
      <c r="G32" s="37">
        <v>13</v>
      </c>
      <c r="H32" s="104">
        <f>F32*G32</f>
        <v>0.32500000000000001</v>
      </c>
    </row>
    <row r="33" spans="1:8" s="3" customFormat="1" ht="22.5" x14ac:dyDescent="0.2">
      <c r="A33" s="82"/>
      <c r="B33" s="222">
        <v>39017</v>
      </c>
      <c r="C33" s="21" t="s">
        <v>12</v>
      </c>
      <c r="D33" s="44" t="s">
        <v>192</v>
      </c>
      <c r="E33" s="22" t="s">
        <v>20</v>
      </c>
      <c r="F33" s="72">
        <v>0.36699999999999999</v>
      </c>
      <c r="G33" s="37">
        <v>0.13</v>
      </c>
      <c r="H33" s="104">
        <f t="shared" ref="H33:H36" si="6">F33*G33</f>
        <v>4.7710000000000002E-2</v>
      </c>
    </row>
    <row r="34" spans="1:8" s="3" customFormat="1" ht="11.25" x14ac:dyDescent="0.2">
      <c r="A34" s="82"/>
      <c r="B34" s="222">
        <v>88238</v>
      </c>
      <c r="C34" s="21" t="s">
        <v>12</v>
      </c>
      <c r="D34" s="44" t="s">
        <v>193</v>
      </c>
      <c r="E34" s="22" t="s">
        <v>73</v>
      </c>
      <c r="F34" s="72">
        <v>6.3E-3</v>
      </c>
      <c r="G34" s="37">
        <v>12.76</v>
      </c>
      <c r="H34" s="104">
        <f t="shared" si="6"/>
        <v>8.0388000000000001E-2</v>
      </c>
    </row>
    <row r="35" spans="1:8" s="3" customFormat="1" ht="11.25" x14ac:dyDescent="0.2">
      <c r="A35" s="82"/>
      <c r="B35" s="222">
        <v>88245</v>
      </c>
      <c r="C35" s="21" t="s">
        <v>12</v>
      </c>
      <c r="D35" s="44" t="s">
        <v>194</v>
      </c>
      <c r="E35" s="22" t="s">
        <v>73</v>
      </c>
      <c r="F35" s="72">
        <v>3.8600000000000002E-2</v>
      </c>
      <c r="G35" s="37">
        <v>16.48</v>
      </c>
      <c r="H35" s="104">
        <f t="shared" si="6"/>
        <v>0.63612800000000003</v>
      </c>
    </row>
    <row r="36" spans="1:8" s="3" customFormat="1" ht="11.25" x14ac:dyDescent="0.2">
      <c r="A36" s="82"/>
      <c r="B36" s="222">
        <v>34441</v>
      </c>
      <c r="C36" s="21" t="s">
        <v>12</v>
      </c>
      <c r="D36" s="44" t="s">
        <v>195</v>
      </c>
      <c r="E36" s="22" t="s">
        <v>184</v>
      </c>
      <c r="F36" s="72">
        <v>1</v>
      </c>
      <c r="G36" s="37">
        <v>5.2</v>
      </c>
      <c r="H36" s="104">
        <f t="shared" si="6"/>
        <v>5.2</v>
      </c>
    </row>
    <row r="37" spans="1:8" s="3" customFormat="1" ht="11.25" x14ac:dyDescent="0.2">
      <c r="A37" s="80"/>
      <c r="B37" s="39">
        <v>7</v>
      </c>
      <c r="C37" s="36" t="s">
        <v>76</v>
      </c>
      <c r="D37" s="36" t="s">
        <v>197</v>
      </c>
      <c r="E37" s="56" t="s">
        <v>184</v>
      </c>
      <c r="F37" s="63" t="s">
        <v>72</v>
      </c>
      <c r="G37" s="64"/>
      <c r="H37" s="103">
        <f>SUM(H38:H43)</f>
        <v>6.6942260000000005</v>
      </c>
    </row>
    <row r="38" spans="1:8" s="3" customFormat="1" ht="11.25" x14ac:dyDescent="0.2">
      <c r="A38" s="82"/>
      <c r="B38" s="222">
        <v>337</v>
      </c>
      <c r="C38" s="21" t="s">
        <v>12</v>
      </c>
      <c r="D38" s="44" t="s">
        <v>191</v>
      </c>
      <c r="E38" s="22" t="s">
        <v>184</v>
      </c>
      <c r="F38" s="72">
        <v>2.5000000000000001E-2</v>
      </c>
      <c r="G38" s="37">
        <v>13</v>
      </c>
      <c r="H38" s="104">
        <f>F38*G38</f>
        <v>0.32500000000000001</v>
      </c>
    </row>
    <row r="39" spans="1:8" s="3" customFormat="1" ht="22.5" x14ac:dyDescent="0.2">
      <c r="A39" s="82"/>
      <c r="B39" s="222">
        <v>39017</v>
      </c>
      <c r="C39" s="21" t="s">
        <v>12</v>
      </c>
      <c r="D39" s="44" t="s">
        <v>192</v>
      </c>
      <c r="E39" s="22" t="s">
        <v>20</v>
      </c>
      <c r="F39" s="72">
        <v>0.36699999999999999</v>
      </c>
      <c r="G39" s="37">
        <v>0.13</v>
      </c>
      <c r="H39" s="104">
        <f t="shared" ref="H39:H43" si="7">F39*G39</f>
        <v>4.7710000000000002E-2</v>
      </c>
    </row>
    <row r="40" spans="1:8" s="3" customFormat="1" ht="11.25" x14ac:dyDescent="0.2">
      <c r="A40" s="82"/>
      <c r="B40" s="222">
        <v>88238</v>
      </c>
      <c r="C40" s="21" t="s">
        <v>12</v>
      </c>
      <c r="D40" s="44" t="s">
        <v>193</v>
      </c>
      <c r="E40" s="22" t="s">
        <v>73</v>
      </c>
      <c r="F40" s="72">
        <v>6.3E-3</v>
      </c>
      <c r="G40" s="37">
        <v>12.76</v>
      </c>
      <c r="H40" s="104">
        <f t="shared" si="7"/>
        <v>8.0388000000000001E-2</v>
      </c>
    </row>
    <row r="41" spans="1:8" s="3" customFormat="1" ht="11.25" x14ac:dyDescent="0.2">
      <c r="A41" s="82"/>
      <c r="B41" s="222">
        <v>88245</v>
      </c>
      <c r="C41" s="21" t="s">
        <v>12</v>
      </c>
      <c r="D41" s="44" t="s">
        <v>194</v>
      </c>
      <c r="E41" s="22" t="s">
        <v>73</v>
      </c>
      <c r="F41" s="72">
        <v>3.8600000000000002E-2</v>
      </c>
      <c r="G41" s="37">
        <v>16.48</v>
      </c>
      <c r="H41" s="104">
        <f t="shared" si="7"/>
        <v>0.63612800000000003</v>
      </c>
    </row>
    <row r="42" spans="1:8" s="3" customFormat="1" ht="11.25" x14ac:dyDescent="0.2">
      <c r="A42" s="82"/>
      <c r="B42" s="222">
        <v>34449</v>
      </c>
      <c r="C42" s="21" t="s">
        <v>12</v>
      </c>
      <c r="D42" s="44" t="s">
        <v>199</v>
      </c>
      <c r="E42" s="22" t="s">
        <v>184</v>
      </c>
      <c r="F42" s="72">
        <f>0.5*1</f>
        <v>0.5</v>
      </c>
      <c r="G42" s="37">
        <v>5.73</v>
      </c>
      <c r="H42" s="104">
        <f t="shared" si="7"/>
        <v>2.8650000000000002</v>
      </c>
    </row>
    <row r="43" spans="1:8" s="3" customFormat="1" ht="11.25" x14ac:dyDescent="0.2">
      <c r="A43" s="82"/>
      <c r="B43" s="222">
        <v>34439</v>
      </c>
      <c r="C43" s="21" t="s">
        <v>12</v>
      </c>
      <c r="D43" s="44" t="s">
        <v>198</v>
      </c>
      <c r="E43" s="22" t="s">
        <v>184</v>
      </c>
      <c r="F43" s="72">
        <f>0.5*1</f>
        <v>0.5</v>
      </c>
      <c r="G43" s="37">
        <v>5.48</v>
      </c>
      <c r="H43" s="104">
        <f t="shared" si="7"/>
        <v>2.74</v>
      </c>
    </row>
    <row r="44" spans="1:8" s="3" customFormat="1" ht="22.5" x14ac:dyDescent="0.2">
      <c r="A44" s="80"/>
      <c r="B44" s="39">
        <v>8</v>
      </c>
      <c r="C44" s="36" t="s">
        <v>76</v>
      </c>
      <c r="D44" s="36" t="s">
        <v>297</v>
      </c>
      <c r="E44" s="56" t="s">
        <v>20</v>
      </c>
      <c r="F44" s="63" t="s">
        <v>72</v>
      </c>
      <c r="G44" s="64"/>
      <c r="H44" s="103">
        <f>SUM(H45:H48)</f>
        <v>31.018235999999995</v>
      </c>
    </row>
    <row r="45" spans="1:8" s="3" customFormat="1" ht="11.25" x14ac:dyDescent="0.2">
      <c r="A45" s="82"/>
      <c r="B45" s="29" t="s">
        <v>298</v>
      </c>
      <c r="C45" s="21" t="s">
        <v>12</v>
      </c>
      <c r="D45" s="44" t="s">
        <v>299</v>
      </c>
      <c r="E45" s="22" t="s">
        <v>20</v>
      </c>
      <c r="F45" s="240">
        <v>1</v>
      </c>
      <c r="G45" s="241">
        <v>13.04</v>
      </c>
      <c r="H45" s="242">
        <f>F45*G45</f>
        <v>13.04</v>
      </c>
    </row>
    <row r="46" spans="1:8" s="3" customFormat="1" ht="22.5" x14ac:dyDescent="0.2">
      <c r="A46" s="82"/>
      <c r="B46" s="29" t="s">
        <v>300</v>
      </c>
      <c r="C46" s="21" t="s">
        <v>12</v>
      </c>
      <c r="D46" s="44" t="s">
        <v>301</v>
      </c>
      <c r="E46" s="22" t="s">
        <v>20</v>
      </c>
      <c r="F46" s="240">
        <v>1</v>
      </c>
      <c r="G46" s="241">
        <v>3.82</v>
      </c>
      <c r="H46" s="242">
        <f t="shared" ref="H46:H48" si="8">F46*G46</f>
        <v>3.82</v>
      </c>
    </row>
    <row r="47" spans="1:8" s="3" customFormat="1" ht="11.25" x14ac:dyDescent="0.2">
      <c r="A47" s="82"/>
      <c r="B47" s="29" t="s">
        <v>302</v>
      </c>
      <c r="C47" s="21" t="s">
        <v>12</v>
      </c>
      <c r="D47" s="44" t="s">
        <v>303</v>
      </c>
      <c r="E47" s="22" t="s">
        <v>73</v>
      </c>
      <c r="F47" s="240">
        <v>0.22309999999999999</v>
      </c>
      <c r="G47" s="241">
        <v>15.36</v>
      </c>
      <c r="H47" s="242">
        <f t="shared" si="8"/>
        <v>3.4268159999999996</v>
      </c>
    </row>
    <row r="48" spans="1:8" s="3" customFormat="1" ht="11.25" x14ac:dyDescent="0.2">
      <c r="A48" s="82"/>
      <c r="B48" s="29" t="s">
        <v>304</v>
      </c>
      <c r="C48" s="21" t="s">
        <v>12</v>
      </c>
      <c r="D48" s="44" t="s">
        <v>305</v>
      </c>
      <c r="E48" s="22" t="s">
        <v>73</v>
      </c>
      <c r="F48" s="240">
        <v>0.53549999999999998</v>
      </c>
      <c r="G48" s="241">
        <v>20.04</v>
      </c>
      <c r="H48" s="242">
        <f t="shared" si="8"/>
        <v>10.731419999999998</v>
      </c>
    </row>
    <row r="49" spans="1:16" s="3" customFormat="1" ht="11.25" x14ac:dyDescent="0.2">
      <c r="A49" s="80"/>
      <c r="B49" s="39">
        <v>9</v>
      </c>
      <c r="C49" s="36" t="s">
        <v>76</v>
      </c>
      <c r="D49" s="36" t="s">
        <v>327</v>
      </c>
      <c r="E49" s="56"/>
      <c r="F49" s="63"/>
      <c r="G49" s="64"/>
      <c r="H49" s="103">
        <f>SUM(H50:H54)</f>
        <v>908.55</v>
      </c>
    </row>
    <row r="50" spans="1:16" s="3" customFormat="1" ht="11.25" x14ac:dyDescent="0.2">
      <c r="A50" s="82"/>
      <c r="B50" s="222">
        <v>34640</v>
      </c>
      <c r="C50" s="21" t="s">
        <v>12</v>
      </c>
      <c r="D50" s="44" t="s">
        <v>322</v>
      </c>
      <c r="E50" s="22" t="s">
        <v>20</v>
      </c>
      <c r="F50" s="72">
        <v>1</v>
      </c>
      <c r="G50" s="37">
        <v>730.02</v>
      </c>
      <c r="H50" s="104">
        <f>F50*G50</f>
        <v>730.02</v>
      </c>
    </row>
    <row r="51" spans="1:16" s="3" customFormat="1" ht="22.5" x14ac:dyDescent="0.2">
      <c r="A51" s="82"/>
      <c r="B51" s="222">
        <v>89408</v>
      </c>
      <c r="C51" s="21" t="s">
        <v>12</v>
      </c>
      <c r="D51" s="21" t="s">
        <v>323</v>
      </c>
      <c r="E51" s="22" t="s">
        <v>20</v>
      </c>
      <c r="F51" s="72">
        <v>3</v>
      </c>
      <c r="G51" s="37">
        <v>4.05</v>
      </c>
      <c r="H51" s="104">
        <f t="shared" ref="H51:H54" si="9">F51*G51</f>
        <v>12.149999999999999</v>
      </c>
    </row>
    <row r="52" spans="1:16" s="3" customFormat="1" ht="33.75" x14ac:dyDescent="0.2">
      <c r="A52" s="82"/>
      <c r="B52" s="222">
        <v>94648</v>
      </c>
      <c r="C52" s="21" t="s">
        <v>12</v>
      </c>
      <c r="D52" s="44" t="s">
        <v>324</v>
      </c>
      <c r="E52" s="22" t="s">
        <v>2</v>
      </c>
      <c r="F52" s="72">
        <v>20</v>
      </c>
      <c r="G52" s="37">
        <v>6.96</v>
      </c>
      <c r="H52" s="104">
        <f t="shared" si="9"/>
        <v>139.19999999999999</v>
      </c>
    </row>
    <row r="53" spans="1:16" s="3" customFormat="1" ht="33.75" x14ac:dyDescent="0.2">
      <c r="A53" s="82"/>
      <c r="B53" s="222">
        <v>94688</v>
      </c>
      <c r="C53" s="21" t="s">
        <v>12</v>
      </c>
      <c r="D53" s="44" t="s">
        <v>325</v>
      </c>
      <c r="E53" s="22" t="s">
        <v>20</v>
      </c>
      <c r="F53" s="72">
        <v>2</v>
      </c>
      <c r="G53" s="37">
        <v>7.35</v>
      </c>
      <c r="H53" s="104">
        <f t="shared" si="9"/>
        <v>14.7</v>
      </c>
    </row>
    <row r="54" spans="1:16" s="3" customFormat="1" ht="33.75" x14ac:dyDescent="0.2">
      <c r="A54" s="82"/>
      <c r="B54" s="222">
        <v>94703</v>
      </c>
      <c r="C54" s="21" t="s">
        <v>12</v>
      </c>
      <c r="D54" s="44" t="s">
        <v>326</v>
      </c>
      <c r="E54" s="22" t="s">
        <v>20</v>
      </c>
      <c r="F54" s="72">
        <v>1</v>
      </c>
      <c r="G54" s="37">
        <v>12.48</v>
      </c>
      <c r="H54" s="104">
        <f t="shared" si="9"/>
        <v>12.48</v>
      </c>
    </row>
    <row r="55" spans="1:16" s="3" customFormat="1" ht="22.5" x14ac:dyDescent="0.2">
      <c r="A55" s="80"/>
      <c r="B55" s="39">
        <v>10</v>
      </c>
      <c r="C55" s="36" t="s">
        <v>76</v>
      </c>
      <c r="D55" s="36" t="s">
        <v>508</v>
      </c>
      <c r="E55" s="56" t="s">
        <v>183</v>
      </c>
      <c r="F55" s="63" t="s">
        <v>72</v>
      </c>
      <c r="G55" s="64"/>
      <c r="H55" s="103">
        <f>SUM(H56:H60)</f>
        <v>83.60324</v>
      </c>
    </row>
    <row r="56" spans="1:16" s="3" customFormat="1" ht="22.5" x14ac:dyDescent="0.2">
      <c r="A56" s="82"/>
      <c r="B56" s="222">
        <v>511</v>
      </c>
      <c r="C56" s="21" t="s">
        <v>12</v>
      </c>
      <c r="D56" s="44" t="s">
        <v>502</v>
      </c>
      <c r="E56" s="22" t="s">
        <v>503</v>
      </c>
      <c r="F56" s="72">
        <v>0.61499999999999999</v>
      </c>
      <c r="G56" s="37">
        <v>13</v>
      </c>
      <c r="H56" s="104">
        <f>F56*G56</f>
        <v>7.9950000000000001</v>
      </c>
    </row>
    <row r="57" spans="1:16" s="3" customFormat="1" ht="24" customHeight="1" x14ac:dyDescent="0.2">
      <c r="A57" s="82"/>
      <c r="B57" s="222">
        <v>4015</v>
      </c>
      <c r="C57" s="21" t="s">
        <v>12</v>
      </c>
      <c r="D57" s="44" t="s">
        <v>507</v>
      </c>
      <c r="E57" s="22" t="s">
        <v>183</v>
      </c>
      <c r="F57" s="72">
        <v>1.125</v>
      </c>
      <c r="G57" s="37">
        <v>48.72</v>
      </c>
      <c r="H57" s="104">
        <f t="shared" ref="H57:H60" si="10">F57*G57</f>
        <v>54.81</v>
      </c>
    </row>
    <row r="58" spans="1:16" s="3" customFormat="1" ht="11.25" x14ac:dyDescent="0.2">
      <c r="A58" s="82"/>
      <c r="B58" s="222">
        <v>4226</v>
      </c>
      <c r="C58" s="21" t="s">
        <v>12</v>
      </c>
      <c r="D58" s="44" t="s">
        <v>504</v>
      </c>
      <c r="E58" s="22" t="s">
        <v>184</v>
      </c>
      <c r="F58" s="72">
        <v>0.26</v>
      </c>
      <c r="G58" s="37">
        <v>4.9000000000000004</v>
      </c>
      <c r="H58" s="104">
        <f t="shared" si="10"/>
        <v>1.2740000000000002</v>
      </c>
    </row>
    <row r="59" spans="1:16" s="3" customFormat="1" ht="11.25" x14ac:dyDescent="0.2">
      <c r="A59" s="82"/>
      <c r="B59" s="222">
        <v>88243</v>
      </c>
      <c r="C59" s="21" t="s">
        <v>12</v>
      </c>
      <c r="D59" s="44" t="s">
        <v>505</v>
      </c>
      <c r="E59" s="22" t="s">
        <v>73</v>
      </c>
      <c r="F59" s="72">
        <v>0.192</v>
      </c>
      <c r="G59" s="37">
        <v>15.48</v>
      </c>
      <c r="H59" s="104">
        <f t="shared" si="10"/>
        <v>2.9721600000000001</v>
      </c>
    </row>
    <row r="60" spans="1:16" s="3" customFormat="1" ht="11.25" x14ac:dyDescent="0.2">
      <c r="A60" s="82"/>
      <c r="B60" s="222">
        <v>88270</v>
      </c>
      <c r="C60" s="21" t="s">
        <v>12</v>
      </c>
      <c r="D60" s="44" t="s">
        <v>506</v>
      </c>
      <c r="E60" s="22" t="s">
        <v>73</v>
      </c>
      <c r="F60" s="72">
        <v>0.94799999999999995</v>
      </c>
      <c r="G60" s="37">
        <v>17.46</v>
      </c>
      <c r="H60" s="104">
        <f t="shared" si="10"/>
        <v>16.55208</v>
      </c>
    </row>
    <row r="61" spans="1:16" ht="22.5" x14ac:dyDescent="0.25">
      <c r="A61" s="80"/>
      <c r="B61" s="39">
        <v>11</v>
      </c>
      <c r="C61" s="36" t="s">
        <v>76</v>
      </c>
      <c r="D61" s="36" t="s">
        <v>591</v>
      </c>
      <c r="E61" s="56" t="s">
        <v>183</v>
      </c>
      <c r="F61" s="63" t="s">
        <v>72</v>
      </c>
      <c r="G61" s="64"/>
      <c r="H61" s="103">
        <f>SUM(H62:H65)</f>
        <v>58.361552000000003</v>
      </c>
    </row>
    <row r="62" spans="1:16" x14ac:dyDescent="0.25">
      <c r="A62" s="82"/>
      <c r="B62" s="222">
        <v>666</v>
      </c>
      <c r="C62" s="21" t="s">
        <v>12</v>
      </c>
      <c r="D62" s="44" t="s">
        <v>592</v>
      </c>
      <c r="E62" s="22" t="s">
        <v>20</v>
      </c>
      <c r="F62" s="72">
        <v>4</v>
      </c>
      <c r="G62" s="37">
        <v>7.82</v>
      </c>
      <c r="H62" s="104">
        <f>F62*G62</f>
        <v>31.28</v>
      </c>
    </row>
    <row r="63" spans="1:16" ht="39.950000000000003" customHeight="1" x14ac:dyDescent="0.25">
      <c r="A63" s="82"/>
      <c r="B63" s="222">
        <v>88309</v>
      </c>
      <c r="C63" s="21" t="s">
        <v>12</v>
      </c>
      <c r="D63" s="44" t="s">
        <v>161</v>
      </c>
      <c r="E63" s="22" t="s">
        <v>73</v>
      </c>
      <c r="F63" s="72">
        <v>0.85</v>
      </c>
      <c r="G63" s="37">
        <v>16.57</v>
      </c>
      <c r="H63" s="104">
        <f>F63*G63</f>
        <v>14.0845</v>
      </c>
    </row>
    <row r="64" spans="1:16" x14ac:dyDescent="0.25">
      <c r="A64" s="82"/>
      <c r="B64" s="222">
        <v>88316</v>
      </c>
      <c r="C64" s="21" t="s">
        <v>12</v>
      </c>
      <c r="D64" s="44" t="s">
        <v>162</v>
      </c>
      <c r="E64" s="22" t="s">
        <v>73</v>
      </c>
      <c r="F64" s="72">
        <v>0.85</v>
      </c>
      <c r="G64" s="37">
        <v>12.95</v>
      </c>
      <c r="H64" s="104">
        <f>F64*G64</f>
        <v>11.007499999999999</v>
      </c>
      <c r="I64" s="70"/>
      <c r="J64" s="69"/>
      <c r="K64" s="69"/>
      <c r="L64" s="70"/>
      <c r="M64" s="71"/>
      <c r="N64" s="71"/>
      <c r="O64" s="71"/>
      <c r="P64" s="65"/>
    </row>
    <row r="65" spans="1:12" ht="22.5" x14ac:dyDescent="0.25">
      <c r="A65" s="82"/>
      <c r="B65" s="222">
        <v>88629</v>
      </c>
      <c r="C65" s="21" t="s">
        <v>12</v>
      </c>
      <c r="D65" s="44" t="s">
        <v>593</v>
      </c>
      <c r="E65" s="22" t="s">
        <v>164</v>
      </c>
      <c r="F65" s="72">
        <v>4.7999999999999996E-3</v>
      </c>
      <c r="G65" s="37">
        <v>414.49</v>
      </c>
      <c r="H65" s="104">
        <f>F65*G65</f>
        <v>1.9895519999999998</v>
      </c>
      <c r="I65" s="52"/>
      <c r="L65" s="59"/>
    </row>
    <row r="66" spans="1:12" ht="33.75" x14ac:dyDescent="0.25">
      <c r="A66" s="80"/>
      <c r="B66" s="39">
        <v>12</v>
      </c>
      <c r="C66" s="36" t="s">
        <v>76</v>
      </c>
      <c r="D66" s="36" t="s">
        <v>543</v>
      </c>
      <c r="E66" s="56" t="s">
        <v>20</v>
      </c>
      <c r="F66" s="63" t="s">
        <v>72</v>
      </c>
      <c r="G66" s="64"/>
      <c r="H66" s="103">
        <f>SUM(H67:H69)</f>
        <v>143.1</v>
      </c>
      <c r="I66" s="52"/>
      <c r="L66" s="59"/>
    </row>
    <row r="67" spans="1:12" ht="22.5" x14ac:dyDescent="0.25">
      <c r="A67" s="82"/>
      <c r="B67" s="222">
        <v>86877</v>
      </c>
      <c r="C67" s="21" t="s">
        <v>12</v>
      </c>
      <c r="D67" s="44" t="s">
        <v>594</v>
      </c>
      <c r="E67" s="22" t="s">
        <v>20</v>
      </c>
      <c r="F67" s="72">
        <v>1</v>
      </c>
      <c r="G67" s="37">
        <v>22.08</v>
      </c>
      <c r="H67" s="104">
        <f>F67*G67</f>
        <v>22.08</v>
      </c>
      <c r="I67" s="52"/>
      <c r="L67" s="59"/>
    </row>
    <row r="68" spans="1:12" ht="22.5" x14ac:dyDescent="0.25">
      <c r="A68" s="82"/>
      <c r="B68" s="222">
        <v>86882</v>
      </c>
      <c r="C68" s="21" t="s">
        <v>12</v>
      </c>
      <c r="D68" s="44" t="s">
        <v>595</v>
      </c>
      <c r="E68" s="22" t="s">
        <v>20</v>
      </c>
      <c r="F68" s="72">
        <v>1</v>
      </c>
      <c r="G68" s="37">
        <v>15.45</v>
      </c>
      <c r="H68" s="104">
        <f>F68*G68</f>
        <v>15.45</v>
      </c>
      <c r="I68" s="52"/>
      <c r="L68" s="59"/>
    </row>
    <row r="69" spans="1:12" ht="22.5" x14ac:dyDescent="0.25">
      <c r="A69" s="82"/>
      <c r="B69" s="222">
        <v>86901</v>
      </c>
      <c r="C69" s="21" t="s">
        <v>12</v>
      </c>
      <c r="D69" s="44" t="s">
        <v>596</v>
      </c>
      <c r="E69" s="22" t="s">
        <v>20</v>
      </c>
      <c r="F69" s="72">
        <v>1</v>
      </c>
      <c r="G69" s="37">
        <v>105.57</v>
      </c>
      <c r="H69" s="104">
        <f>F69*G69</f>
        <v>105.57</v>
      </c>
      <c r="I69" s="52"/>
      <c r="L69" s="59"/>
    </row>
    <row r="70" spans="1:12" ht="22.5" x14ac:dyDescent="0.25">
      <c r="A70" s="80"/>
      <c r="B70" s="39">
        <v>13</v>
      </c>
      <c r="C70" s="36" t="s">
        <v>76</v>
      </c>
      <c r="D70" s="36" t="s">
        <v>597</v>
      </c>
      <c r="E70" s="56" t="s">
        <v>20</v>
      </c>
      <c r="F70" s="63" t="s">
        <v>72</v>
      </c>
      <c r="G70" s="64"/>
      <c r="H70" s="103">
        <f>SUM(H71:H75)</f>
        <v>70.282799999999995</v>
      </c>
      <c r="I70" s="52"/>
      <c r="L70" s="59"/>
    </row>
    <row r="71" spans="1:12" ht="22.5" x14ac:dyDescent="0.25">
      <c r="A71" s="82"/>
      <c r="B71" s="222">
        <v>20078</v>
      </c>
      <c r="C71" s="21" t="s">
        <v>12</v>
      </c>
      <c r="D71" s="44" t="s">
        <v>598</v>
      </c>
      <c r="E71" s="22" t="s">
        <v>20</v>
      </c>
      <c r="F71" s="72">
        <v>0.02</v>
      </c>
      <c r="G71" s="37">
        <v>13.23</v>
      </c>
      <c r="H71" s="104">
        <f>F71*G71</f>
        <v>0.2646</v>
      </c>
      <c r="I71" s="52"/>
      <c r="L71" s="59"/>
    </row>
    <row r="72" spans="1:12" x14ac:dyDescent="0.25">
      <c r="A72" s="82"/>
      <c r="B72" s="222">
        <v>300</v>
      </c>
      <c r="C72" s="21" t="s">
        <v>12</v>
      </c>
      <c r="D72" s="44" t="s">
        <v>599</v>
      </c>
      <c r="E72" s="22" t="s">
        <v>20</v>
      </c>
      <c r="F72" s="72">
        <v>1</v>
      </c>
      <c r="G72" s="37">
        <v>8.4</v>
      </c>
      <c r="H72" s="104">
        <f>F72*G72</f>
        <v>8.4</v>
      </c>
      <c r="I72" s="52"/>
      <c r="L72" s="59"/>
    </row>
    <row r="73" spans="1:12" x14ac:dyDescent="0.25">
      <c r="A73" s="82"/>
      <c r="B73" s="222">
        <v>20158</v>
      </c>
      <c r="C73" s="21" t="s">
        <v>12</v>
      </c>
      <c r="D73" s="44" t="s">
        <v>600</v>
      </c>
      <c r="E73" s="22" t="s">
        <v>20</v>
      </c>
      <c r="F73" s="72">
        <v>1</v>
      </c>
      <c r="G73" s="37">
        <v>59.39</v>
      </c>
      <c r="H73" s="104">
        <f>F73*G73</f>
        <v>59.39</v>
      </c>
      <c r="I73" s="52"/>
      <c r="L73" s="59"/>
    </row>
    <row r="74" spans="1:12" ht="22.5" x14ac:dyDescent="0.25">
      <c r="A74" s="82"/>
      <c r="B74" s="222">
        <v>88248</v>
      </c>
      <c r="C74" s="21" t="s">
        <v>12</v>
      </c>
      <c r="D74" s="44" t="s">
        <v>601</v>
      </c>
      <c r="E74" s="22" t="s">
        <v>73</v>
      </c>
      <c r="F74" s="72">
        <v>6.5000000000000002E-2</v>
      </c>
      <c r="G74" s="37">
        <v>14.88</v>
      </c>
      <c r="H74" s="104">
        <f>F74*G74</f>
        <v>0.96720000000000006</v>
      </c>
      <c r="I74" s="52"/>
      <c r="L74" s="59"/>
    </row>
    <row r="75" spans="1:12" x14ac:dyDescent="0.25">
      <c r="A75" s="82"/>
      <c r="B75" s="222">
        <v>88267</v>
      </c>
      <c r="C75" s="21" t="s">
        <v>12</v>
      </c>
      <c r="D75" s="44" t="s">
        <v>75</v>
      </c>
      <c r="E75" s="22" t="s">
        <v>73</v>
      </c>
      <c r="F75" s="72">
        <v>6.5000000000000002E-2</v>
      </c>
      <c r="G75" s="37">
        <v>19.399999999999999</v>
      </c>
      <c r="H75" s="104">
        <f>F75*G75</f>
        <v>1.2609999999999999</v>
      </c>
      <c r="I75" s="52"/>
      <c r="L75" s="59"/>
    </row>
    <row r="76" spans="1:12" ht="22.5" x14ac:dyDescent="0.25">
      <c r="A76" s="80"/>
      <c r="B76" s="39">
        <v>14</v>
      </c>
      <c r="C76" s="36" t="s">
        <v>76</v>
      </c>
      <c r="D76" s="36" t="s">
        <v>602</v>
      </c>
      <c r="E76" s="56" t="s">
        <v>20</v>
      </c>
      <c r="F76" s="63" t="s">
        <v>72</v>
      </c>
      <c r="G76" s="64"/>
      <c r="H76" s="103">
        <f>SUM(H77:H79)</f>
        <v>76.49499999999999</v>
      </c>
      <c r="I76" s="52"/>
      <c r="L76" s="59"/>
    </row>
    <row r="77" spans="1:12" ht="22.5" x14ac:dyDescent="0.25">
      <c r="A77" s="82"/>
      <c r="B77" s="222">
        <v>3780</v>
      </c>
      <c r="C77" s="21" t="s">
        <v>12</v>
      </c>
      <c r="D77" s="44" t="s">
        <v>603</v>
      </c>
      <c r="E77" s="22" t="s">
        <v>20</v>
      </c>
      <c r="F77" s="72">
        <v>1</v>
      </c>
      <c r="G77" s="37">
        <v>60</v>
      </c>
      <c r="H77" s="104">
        <f>F77*G77</f>
        <v>60</v>
      </c>
      <c r="I77" s="52"/>
      <c r="L77" s="59"/>
    </row>
    <row r="78" spans="1:12" x14ac:dyDescent="0.25">
      <c r="A78" s="82"/>
      <c r="B78" s="222">
        <v>88264</v>
      </c>
      <c r="C78" s="21" t="s">
        <v>12</v>
      </c>
      <c r="D78" s="44" t="s">
        <v>305</v>
      </c>
      <c r="E78" s="22" t="s">
        <v>73</v>
      </c>
      <c r="F78" s="72">
        <v>0.5</v>
      </c>
      <c r="G78" s="37">
        <v>20.04</v>
      </c>
      <c r="H78" s="104">
        <f>F78*G78</f>
        <v>10.02</v>
      </c>
      <c r="I78" s="52"/>
      <c r="L78" s="59"/>
    </row>
    <row r="79" spans="1:12" x14ac:dyDescent="0.25">
      <c r="A79" s="82"/>
      <c r="B79" s="222">
        <v>88316</v>
      </c>
      <c r="C79" s="21" t="s">
        <v>12</v>
      </c>
      <c r="D79" s="44" t="s">
        <v>162</v>
      </c>
      <c r="E79" s="22" t="s">
        <v>73</v>
      </c>
      <c r="F79" s="72">
        <v>0.5</v>
      </c>
      <c r="G79" s="37">
        <v>12.95</v>
      </c>
      <c r="H79" s="104">
        <f>F79*G79</f>
        <v>6.4749999999999996</v>
      </c>
      <c r="I79" s="52"/>
      <c r="L79" s="59"/>
    </row>
    <row r="80" spans="1:12" ht="22.5" x14ac:dyDescent="0.25">
      <c r="A80" s="80"/>
      <c r="B80" s="39">
        <v>15</v>
      </c>
      <c r="C80" s="36" t="s">
        <v>76</v>
      </c>
      <c r="D80" s="36" t="s">
        <v>604</v>
      </c>
      <c r="E80" s="56" t="s">
        <v>20</v>
      </c>
      <c r="F80" s="63" t="s">
        <v>72</v>
      </c>
      <c r="G80" s="64"/>
      <c r="H80" s="103">
        <f>SUM(H81:H84)</f>
        <v>233.95</v>
      </c>
      <c r="I80" s="52"/>
      <c r="L80" s="59"/>
    </row>
    <row r="81" spans="1:12" ht="22.5" x14ac:dyDescent="0.25">
      <c r="A81" s="82"/>
      <c r="B81" s="222">
        <v>1392</v>
      </c>
      <c r="C81" s="21" t="s">
        <v>23</v>
      </c>
      <c r="D81" s="44" t="s">
        <v>605</v>
      </c>
      <c r="E81" s="22" t="s">
        <v>17</v>
      </c>
      <c r="F81" s="72">
        <v>1</v>
      </c>
      <c r="G81" s="37">
        <v>162.47999999999999</v>
      </c>
      <c r="H81" s="104">
        <f>F81*G81</f>
        <v>162.47999999999999</v>
      </c>
      <c r="I81" s="52"/>
      <c r="L81" s="59"/>
    </row>
    <row r="82" spans="1:12" x14ac:dyDescent="0.25">
      <c r="A82" s="82"/>
      <c r="B82" s="222">
        <v>3756</v>
      </c>
      <c r="C82" s="21" t="s">
        <v>12</v>
      </c>
      <c r="D82" s="44" t="s">
        <v>606</v>
      </c>
      <c r="E82" s="22" t="s">
        <v>17</v>
      </c>
      <c r="F82" s="72">
        <v>1</v>
      </c>
      <c r="G82" s="37">
        <v>59.15</v>
      </c>
      <c r="H82" s="104">
        <f>F82*G82</f>
        <v>59.15</v>
      </c>
      <c r="I82" s="52"/>
      <c r="L82" s="59"/>
    </row>
    <row r="83" spans="1:12" x14ac:dyDescent="0.25">
      <c r="A83" s="82"/>
      <c r="B83" s="222">
        <v>88264</v>
      </c>
      <c r="C83" s="21" t="s">
        <v>12</v>
      </c>
      <c r="D83" s="44" t="s">
        <v>305</v>
      </c>
      <c r="E83" s="22" t="s">
        <v>174</v>
      </c>
      <c r="F83" s="72">
        <v>1.1000000000000001</v>
      </c>
      <c r="G83" s="37">
        <v>6.63</v>
      </c>
      <c r="H83" s="104">
        <f>F83*G83</f>
        <v>7.2930000000000001</v>
      </c>
      <c r="I83" s="52"/>
      <c r="L83" s="59"/>
    </row>
    <row r="84" spans="1:12" x14ac:dyDescent="0.25">
      <c r="A84" s="82"/>
      <c r="B84" s="222">
        <v>88316</v>
      </c>
      <c r="C84" s="21" t="s">
        <v>12</v>
      </c>
      <c r="D84" s="44" t="s">
        <v>162</v>
      </c>
      <c r="E84" s="22" t="s">
        <v>174</v>
      </c>
      <c r="F84" s="72">
        <v>1.1000000000000001</v>
      </c>
      <c r="G84" s="37">
        <v>4.57</v>
      </c>
      <c r="H84" s="104">
        <f>F84*G84</f>
        <v>5.027000000000001</v>
      </c>
      <c r="I84" s="52"/>
      <c r="L84" s="59"/>
    </row>
  </sheetData>
  <mergeCells count="8">
    <mergeCell ref="G5:H5"/>
    <mergeCell ref="A3:D3"/>
    <mergeCell ref="A4:D4"/>
    <mergeCell ref="A1:D1"/>
    <mergeCell ref="A2:D2"/>
    <mergeCell ref="G1:H1"/>
    <mergeCell ref="G2:H2"/>
    <mergeCell ref="G3:H4"/>
  </mergeCells>
  <phoneticPr fontId="4" type="noConversion"/>
  <pageMargins left="0.59055118110236215" right="0.39370078740157483" top="0.78740157480314965" bottom="0.59055118110236215" header="0.31496062992125984" footer="0.31496062992125984"/>
  <pageSetup paperSize="9" scale="63" fitToHeight="0" orientation="portrait" horizontalDpi="360" verticalDpi="360" r:id="rId1"/>
  <headerFooter>
    <oddFooter>Página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2"/>
  <sheetViews>
    <sheetView zoomScaleNormal="100" workbookViewId="0">
      <selection activeCell="H13" sqref="A1:H13"/>
    </sheetView>
  </sheetViews>
  <sheetFormatPr defaultColWidth="9.140625" defaultRowHeight="15" x14ac:dyDescent="0.25"/>
  <cols>
    <col min="1" max="1" width="9.7109375" customWidth="1"/>
    <col min="2" max="2" width="11.7109375" style="52" customWidth="1"/>
    <col min="3" max="3" width="9.7109375" customWidth="1"/>
    <col min="4" max="4" width="58.5703125" customWidth="1"/>
    <col min="5" max="5" width="17" style="59" customWidth="1"/>
    <col min="6" max="8" width="13.7109375" customWidth="1"/>
    <col min="9" max="9" width="12.5703125" bestFit="1" customWidth="1"/>
  </cols>
  <sheetData>
    <row r="1" spans="1:9" x14ac:dyDescent="0.25">
      <c r="A1" s="355"/>
      <c r="B1" s="356"/>
      <c r="C1" s="356"/>
      <c r="D1" s="356"/>
      <c r="E1" s="344" t="s">
        <v>38</v>
      </c>
      <c r="F1" s="344" t="s">
        <v>33</v>
      </c>
      <c r="G1" s="448" t="s">
        <v>24</v>
      </c>
      <c r="H1" s="449"/>
      <c r="I1" s="66"/>
    </row>
    <row r="2" spans="1:9" ht="114.75" customHeight="1" x14ac:dyDescent="0.25">
      <c r="A2" s="358" t="s">
        <v>53</v>
      </c>
      <c r="B2" s="359"/>
      <c r="C2" s="359"/>
      <c r="D2" s="359"/>
      <c r="E2" s="345" t="str">
        <f>'Planilha orçamentária'!E2</f>
        <v xml:space="preserve">SINAPI - 08/2019 - AL
ORSE - 07/2019 - SE
</v>
      </c>
      <c r="F2" s="106">
        <f>'Memória de Cálculo '!G2</f>
        <v>0.27929999999999999</v>
      </c>
      <c r="G2" s="450" t="s">
        <v>69</v>
      </c>
      <c r="H2" s="451"/>
      <c r="I2" s="66"/>
    </row>
    <row r="3" spans="1:9" ht="24" customHeight="1" x14ac:dyDescent="0.25">
      <c r="A3" s="351" t="s">
        <v>70</v>
      </c>
      <c r="B3" s="352"/>
      <c r="C3" s="352"/>
      <c r="D3" s="352"/>
      <c r="E3" s="54"/>
      <c r="F3" s="343"/>
      <c r="G3" s="452"/>
      <c r="H3" s="453"/>
      <c r="I3" s="66"/>
    </row>
    <row r="4" spans="1:9" ht="15.75" thickBot="1" x14ac:dyDescent="0.3">
      <c r="A4" s="446" t="str">
        <f>'Planilha orçamentária'!A4:D4</f>
        <v>CONSTRUÇÃO DE COMPLEXO ESPORTIVO NO MUNICÍPIO DE LAGOA DA CANOA - AL</v>
      </c>
      <c r="B4" s="447"/>
      <c r="C4" s="447"/>
      <c r="D4" s="447"/>
      <c r="E4" s="54"/>
      <c r="F4" s="343"/>
      <c r="G4" s="452"/>
      <c r="H4" s="453"/>
      <c r="I4" s="66"/>
    </row>
    <row r="5" spans="1:9" ht="15" customHeight="1" thickBot="1" x14ac:dyDescent="0.3">
      <c r="A5" s="30" t="s">
        <v>37</v>
      </c>
      <c r="B5" s="49"/>
      <c r="C5" s="31"/>
      <c r="D5" s="31"/>
      <c r="E5" s="16"/>
      <c r="F5" s="31"/>
      <c r="G5" s="444"/>
      <c r="H5" s="445"/>
      <c r="I5" s="66"/>
    </row>
    <row r="6" spans="1:9" s="1" customFormat="1" ht="22.5" customHeight="1" x14ac:dyDescent="0.2">
      <c r="A6" s="101" t="s">
        <v>29</v>
      </c>
      <c r="B6" s="50" t="s">
        <v>19</v>
      </c>
      <c r="C6" s="7" t="s">
        <v>5</v>
      </c>
      <c r="D6" s="7" t="s">
        <v>13</v>
      </c>
      <c r="E6" s="61" t="s">
        <v>9</v>
      </c>
      <c r="F6" s="62" t="s">
        <v>26</v>
      </c>
      <c r="G6" s="68" t="s">
        <v>48</v>
      </c>
      <c r="H6" s="102" t="s">
        <v>71</v>
      </c>
      <c r="I6" s="67"/>
    </row>
    <row r="7" spans="1:9" s="3" customFormat="1" ht="11.25" x14ac:dyDescent="0.2">
      <c r="A7" s="80"/>
      <c r="B7" s="39">
        <v>1</v>
      </c>
      <c r="C7" s="36" t="s">
        <v>692</v>
      </c>
      <c r="D7" s="36" t="s">
        <v>693</v>
      </c>
      <c r="E7" s="56" t="s">
        <v>9</v>
      </c>
      <c r="F7" s="63" t="s">
        <v>72</v>
      </c>
      <c r="G7" s="64"/>
      <c r="H7" s="103">
        <f>SUM(H8:H8)</f>
        <v>3470</v>
      </c>
      <c r="I7" s="312"/>
    </row>
    <row r="8" spans="1:9" s="3" customFormat="1" ht="11.25" x14ac:dyDescent="0.2">
      <c r="A8" s="82"/>
      <c r="B8" s="29"/>
      <c r="C8" s="21" t="s">
        <v>694</v>
      </c>
      <c r="D8" s="44" t="s">
        <v>693</v>
      </c>
      <c r="E8" s="22" t="s">
        <v>9</v>
      </c>
      <c r="F8" s="72">
        <v>1</v>
      </c>
      <c r="G8" s="37">
        <v>3470</v>
      </c>
      <c r="H8" s="104">
        <f>F8*G8</f>
        <v>3470</v>
      </c>
    </row>
    <row r="9" spans="1:9" s="3" customFormat="1" ht="11.25" x14ac:dyDescent="0.2">
      <c r="A9" s="80"/>
      <c r="B9" s="39">
        <v>2</v>
      </c>
      <c r="C9" s="36" t="s">
        <v>692</v>
      </c>
      <c r="D9" s="36" t="s">
        <v>695</v>
      </c>
      <c r="E9" s="56" t="s">
        <v>9</v>
      </c>
      <c r="F9" s="73"/>
      <c r="G9" s="64"/>
      <c r="H9" s="103">
        <f>SUM(H10:H10)</f>
        <v>6756.8</v>
      </c>
    </row>
    <row r="10" spans="1:9" s="3" customFormat="1" ht="11.25" x14ac:dyDescent="0.2">
      <c r="A10" s="82"/>
      <c r="B10" s="21"/>
      <c r="C10" s="21" t="s">
        <v>694</v>
      </c>
      <c r="D10" s="44" t="s">
        <v>695</v>
      </c>
      <c r="E10" s="22" t="s">
        <v>9</v>
      </c>
      <c r="F10" s="72">
        <v>1</v>
      </c>
      <c r="G10" s="37">
        <v>6756.8</v>
      </c>
      <c r="H10" s="104">
        <f>F10*G10</f>
        <v>6756.8</v>
      </c>
    </row>
    <row r="11" spans="1:9" s="3" customFormat="1" ht="11.25" x14ac:dyDescent="0.2">
      <c r="A11" s="80"/>
      <c r="B11" s="39">
        <v>3</v>
      </c>
      <c r="C11" s="36" t="s">
        <v>692</v>
      </c>
      <c r="D11" s="36" t="s">
        <v>696</v>
      </c>
      <c r="E11" s="56" t="s">
        <v>9</v>
      </c>
      <c r="F11" s="73"/>
      <c r="G11" s="64"/>
      <c r="H11" s="103">
        <f>SUM(H12:H12)</f>
        <v>920</v>
      </c>
    </row>
    <row r="12" spans="1:9" s="3" customFormat="1" ht="11.25" x14ac:dyDescent="0.2">
      <c r="A12" s="82"/>
      <c r="B12" s="29"/>
      <c r="C12" s="21" t="s">
        <v>694</v>
      </c>
      <c r="D12" s="44" t="s">
        <v>696</v>
      </c>
      <c r="E12" s="22" t="s">
        <v>9</v>
      </c>
      <c r="F12" s="72">
        <v>1</v>
      </c>
      <c r="G12" s="37">
        <v>920</v>
      </c>
      <c r="H12" s="104">
        <f>F12*G12</f>
        <v>920</v>
      </c>
    </row>
  </sheetData>
  <mergeCells count="8">
    <mergeCell ref="G5:H5"/>
    <mergeCell ref="A1:D1"/>
    <mergeCell ref="G1:H1"/>
    <mergeCell ref="A2:D2"/>
    <mergeCell ref="G2:H2"/>
    <mergeCell ref="A3:D3"/>
    <mergeCell ref="G3:H4"/>
    <mergeCell ref="A4:D4"/>
  </mergeCells>
  <pageMargins left="0.59055118110236215" right="0.39370078740157483" top="0.78740157480314965" bottom="0.59055118110236215" header="0.31496062992125984" footer="0.31496062992125984"/>
  <pageSetup paperSize="9" scale="93" fitToHeight="0" orientation="landscape" horizontalDpi="360" verticalDpi="360" r:id="rId1"/>
  <headerFooter>
    <oddFooter>Página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7"/>
  <sheetViews>
    <sheetView tabSelected="1" topLeftCell="B1" zoomScale="45" workbookViewId="0">
      <selection activeCell="N45" sqref="N45"/>
    </sheetView>
  </sheetViews>
  <sheetFormatPr defaultRowHeight="15" x14ac:dyDescent="0.25"/>
  <cols>
    <col min="2" max="2" width="45.42578125" customWidth="1"/>
    <col min="3" max="3" width="11.42578125" bestFit="1" customWidth="1"/>
    <col min="4" max="4" width="15.42578125" bestFit="1" customWidth="1"/>
    <col min="6" max="6" width="10.85546875" bestFit="1" customWidth="1"/>
    <col min="8" max="8" width="10.85546875" bestFit="1" customWidth="1"/>
    <col min="10" max="10" width="11.85546875" bestFit="1" customWidth="1"/>
    <col min="12" max="12" width="11.5703125" bestFit="1" customWidth="1"/>
    <col min="14" max="14" width="11.5703125" bestFit="1" customWidth="1"/>
    <col min="16" max="16" width="11.85546875" bestFit="1" customWidth="1"/>
    <col min="17" max="17" width="9.85546875" customWidth="1"/>
    <col min="18" max="18" width="12.7109375" bestFit="1" customWidth="1"/>
    <col min="19" max="19" width="10.85546875" customWidth="1"/>
    <col min="20" max="20" width="12.7109375" bestFit="1" customWidth="1"/>
    <col min="21" max="21" width="10.85546875" customWidth="1"/>
    <col min="22" max="22" width="12.42578125" bestFit="1" customWidth="1"/>
    <col min="23" max="23" width="10.85546875" customWidth="1"/>
    <col min="24" max="24" width="13.140625" bestFit="1" customWidth="1"/>
    <col min="25" max="25" width="10.85546875" customWidth="1"/>
    <col min="26" max="26" width="12.7109375" bestFit="1" customWidth="1"/>
    <col min="27" max="27" width="10.85546875" customWidth="1"/>
    <col min="28" max="28" width="13.140625" bestFit="1" customWidth="1"/>
  </cols>
  <sheetData>
    <row r="1" spans="1:28" x14ac:dyDescent="0.25">
      <c r="A1" s="489"/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0"/>
      <c r="P1" s="490"/>
      <c r="Q1" s="490"/>
      <c r="R1" s="490"/>
      <c r="S1" s="490"/>
      <c r="T1" s="490"/>
      <c r="U1" s="490"/>
      <c r="V1" s="490"/>
      <c r="W1" s="490"/>
      <c r="X1" s="490"/>
      <c r="Y1" s="490"/>
      <c r="Z1" s="490"/>
      <c r="AA1" s="490"/>
      <c r="AB1" s="491"/>
    </row>
    <row r="2" spans="1:28" x14ac:dyDescent="0.25">
      <c r="A2" s="454"/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  <c r="S2" s="455"/>
      <c r="T2" s="455"/>
      <c r="U2" s="455"/>
      <c r="V2" s="455"/>
      <c r="W2" s="455"/>
      <c r="X2" s="455"/>
      <c r="Y2" s="455"/>
      <c r="Z2" s="455"/>
      <c r="AA2" s="455"/>
      <c r="AB2" s="492"/>
    </row>
    <row r="3" spans="1:28" x14ac:dyDescent="0.25">
      <c r="A3" s="454"/>
      <c r="B3" s="455"/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  <c r="P3" s="455"/>
      <c r="Q3" s="455"/>
      <c r="R3" s="455"/>
      <c r="S3" s="455"/>
      <c r="T3" s="455"/>
      <c r="U3" s="455"/>
      <c r="V3" s="455"/>
      <c r="W3" s="455"/>
      <c r="X3" s="455"/>
      <c r="Y3" s="455"/>
      <c r="Z3" s="455"/>
      <c r="AA3" s="455"/>
      <c r="AB3" s="492"/>
    </row>
    <row r="4" spans="1:28" x14ac:dyDescent="0.25">
      <c r="A4" s="454"/>
      <c r="B4" s="455"/>
      <c r="C4" s="455"/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  <c r="P4" s="455"/>
      <c r="Q4" s="455"/>
      <c r="R4" s="455"/>
      <c r="S4" s="455"/>
      <c r="T4" s="455"/>
      <c r="U4" s="455"/>
      <c r="V4" s="455"/>
      <c r="W4" s="455"/>
      <c r="X4" s="455"/>
      <c r="Y4" s="455"/>
      <c r="Z4" s="455"/>
      <c r="AA4" s="455"/>
      <c r="AB4" s="492"/>
    </row>
    <row r="5" spans="1:28" x14ac:dyDescent="0.25">
      <c r="A5" s="454"/>
      <c r="B5" s="455"/>
      <c r="C5" s="455"/>
      <c r="D5" s="455"/>
      <c r="E5" s="455"/>
      <c r="F5" s="455"/>
      <c r="G5" s="455"/>
      <c r="H5" s="455"/>
      <c r="I5" s="455"/>
      <c r="J5" s="455"/>
      <c r="K5" s="455"/>
      <c r="L5" s="455"/>
      <c r="M5" s="455"/>
      <c r="N5" s="455"/>
      <c r="O5" s="455"/>
      <c r="P5" s="455"/>
      <c r="Q5" s="455"/>
      <c r="R5" s="455"/>
      <c r="S5" s="455"/>
      <c r="T5" s="455"/>
      <c r="U5" s="455"/>
      <c r="V5" s="455"/>
      <c r="W5" s="455"/>
      <c r="X5" s="455"/>
      <c r="Y5" s="455"/>
      <c r="Z5" s="455"/>
      <c r="AA5" s="455"/>
      <c r="AB5" s="492"/>
    </row>
    <row r="6" spans="1:28" x14ac:dyDescent="0.25">
      <c r="A6" s="454" t="s">
        <v>53</v>
      </c>
      <c r="B6" s="455"/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  <c r="O6" s="455"/>
      <c r="P6" s="455"/>
      <c r="Q6" s="455"/>
      <c r="R6" s="455"/>
      <c r="S6" s="455"/>
      <c r="T6" s="455"/>
      <c r="U6" s="455"/>
      <c r="V6" s="455"/>
      <c r="W6" s="455"/>
      <c r="X6" s="455"/>
      <c r="Y6" s="455"/>
      <c r="Z6" s="455"/>
      <c r="AA6" s="455"/>
      <c r="AB6" s="492"/>
    </row>
    <row r="7" spans="1:28" x14ac:dyDescent="0.25">
      <c r="A7" s="454"/>
      <c r="B7" s="455"/>
      <c r="C7" s="455"/>
      <c r="D7" s="455"/>
      <c r="E7" s="455"/>
      <c r="F7" s="455"/>
      <c r="G7" s="455"/>
      <c r="H7" s="455"/>
      <c r="I7" s="455"/>
      <c r="J7" s="455"/>
      <c r="K7" s="455"/>
      <c r="L7" s="455"/>
      <c r="M7" s="455"/>
      <c r="N7" s="455"/>
      <c r="O7" s="455"/>
      <c r="P7" s="455"/>
      <c r="Q7" s="455"/>
      <c r="R7" s="455"/>
      <c r="S7" s="455"/>
      <c r="T7" s="455"/>
      <c r="U7" s="455"/>
      <c r="V7" s="455"/>
      <c r="W7" s="455"/>
      <c r="X7" s="455"/>
      <c r="Y7" s="455"/>
      <c r="Z7" s="455"/>
      <c r="AA7" s="455"/>
      <c r="AB7" s="492"/>
    </row>
    <row r="8" spans="1:28" x14ac:dyDescent="0.25">
      <c r="A8" s="454"/>
      <c r="B8" s="455"/>
      <c r="C8" s="455"/>
      <c r="D8" s="455"/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55"/>
      <c r="X8" s="455"/>
      <c r="Y8" s="455"/>
      <c r="Z8" s="455"/>
      <c r="AA8" s="455"/>
      <c r="AB8" s="492"/>
    </row>
    <row r="9" spans="1:28" ht="15" customHeight="1" x14ac:dyDescent="0.25">
      <c r="A9" s="493"/>
      <c r="B9" s="482"/>
      <c r="C9" s="482"/>
      <c r="D9" s="482"/>
      <c r="E9" s="482"/>
      <c r="F9" s="482"/>
      <c r="G9" s="482"/>
      <c r="H9" s="482"/>
      <c r="I9" s="482"/>
      <c r="J9" s="482"/>
      <c r="K9" s="482"/>
      <c r="L9" s="482"/>
      <c r="M9" s="482"/>
      <c r="N9" s="482"/>
      <c r="O9" s="482"/>
      <c r="P9" s="482"/>
      <c r="Q9" s="482"/>
      <c r="R9" s="482"/>
      <c r="S9" s="482"/>
      <c r="T9" s="482"/>
      <c r="U9" s="482"/>
      <c r="V9" s="482"/>
      <c r="W9" s="482"/>
      <c r="X9" s="482"/>
      <c r="Y9" s="482"/>
      <c r="Z9" s="483"/>
      <c r="AA9" s="456" t="s">
        <v>708</v>
      </c>
      <c r="AB9" s="494">
        <v>0.27929999999999999</v>
      </c>
    </row>
    <row r="10" spans="1:28" ht="15.75" customHeight="1" x14ac:dyDescent="0.25">
      <c r="A10" s="495" t="s">
        <v>709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484"/>
      <c r="V10" s="484"/>
      <c r="W10" s="484"/>
      <c r="X10" s="484"/>
      <c r="Y10" s="484"/>
      <c r="Z10" s="485"/>
      <c r="AA10" s="456"/>
      <c r="AB10" s="494"/>
    </row>
    <row r="11" spans="1:28" ht="18" customHeight="1" x14ac:dyDescent="0.25">
      <c r="A11" s="496" t="s">
        <v>729</v>
      </c>
      <c r="B11" s="486"/>
      <c r="C11" s="486"/>
      <c r="D11" s="486"/>
      <c r="E11" s="486"/>
      <c r="F11" s="486"/>
      <c r="G11" s="486"/>
      <c r="H11" s="486"/>
      <c r="I11" s="486"/>
      <c r="J11" s="486"/>
      <c r="K11" s="486"/>
      <c r="L11" s="486"/>
      <c r="M11" s="486"/>
      <c r="N11" s="486"/>
      <c r="O11" s="486"/>
      <c r="P11" s="486"/>
      <c r="Q11" s="486"/>
      <c r="R11" s="486"/>
      <c r="S11" s="486"/>
      <c r="T11" s="486"/>
      <c r="U11" s="486"/>
      <c r="V11" s="486"/>
      <c r="W11" s="486"/>
      <c r="X11" s="486"/>
      <c r="Y11" s="486"/>
      <c r="Z11" s="487"/>
      <c r="AA11" s="456"/>
      <c r="AB11" s="494"/>
    </row>
    <row r="12" spans="1:28" ht="15.75" customHeight="1" x14ac:dyDescent="0.25">
      <c r="A12" s="497" t="s">
        <v>710</v>
      </c>
      <c r="B12" s="457"/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7"/>
      <c r="X12" s="457"/>
      <c r="Y12" s="457"/>
      <c r="Z12" s="488"/>
      <c r="AA12" s="456"/>
      <c r="AB12" s="494"/>
    </row>
    <row r="13" spans="1:28" ht="45" customHeight="1" x14ac:dyDescent="0.25">
      <c r="A13" s="498" t="s">
        <v>29</v>
      </c>
      <c r="B13" s="458" t="s">
        <v>13</v>
      </c>
      <c r="C13" s="458" t="s">
        <v>711</v>
      </c>
      <c r="D13" s="458" t="s">
        <v>712</v>
      </c>
      <c r="E13" s="459" t="s">
        <v>728</v>
      </c>
      <c r="F13" s="460"/>
      <c r="G13" s="459" t="s">
        <v>727</v>
      </c>
      <c r="H13" s="460"/>
      <c r="I13" s="459" t="s">
        <v>726</v>
      </c>
      <c r="J13" s="460"/>
      <c r="K13" s="459" t="s">
        <v>725</v>
      </c>
      <c r="L13" s="460"/>
      <c r="M13" s="459" t="s">
        <v>724</v>
      </c>
      <c r="N13" s="460"/>
      <c r="O13" s="459" t="s">
        <v>723</v>
      </c>
      <c r="P13" s="460"/>
      <c r="Q13" s="459" t="s">
        <v>722</v>
      </c>
      <c r="R13" s="460"/>
      <c r="S13" s="459" t="s">
        <v>721</v>
      </c>
      <c r="T13" s="460"/>
      <c r="U13" s="459" t="s">
        <v>720</v>
      </c>
      <c r="V13" s="460"/>
      <c r="W13" s="459" t="s">
        <v>719</v>
      </c>
      <c r="X13" s="460"/>
      <c r="Y13" s="459" t="s">
        <v>718</v>
      </c>
      <c r="Z13" s="460"/>
      <c r="AA13" s="459" t="s">
        <v>717</v>
      </c>
      <c r="AB13" s="499"/>
    </row>
    <row r="14" spans="1:28" x14ac:dyDescent="0.25">
      <c r="A14" s="500">
        <f>'[1]PLANILHA ORÇAMENTÁRIA'!A18</f>
        <v>1</v>
      </c>
      <c r="B14" s="462" t="str">
        <f>'Planilha orçamentária'!D7</f>
        <v>SERVIÇOS PRELIMINARES</v>
      </c>
      <c r="C14" s="463">
        <f>D14/$D$22</f>
        <v>1.8534706736005505E-2</v>
      </c>
      <c r="D14" s="478">
        <f>'Planilha orçamentária'!I7</f>
        <v>37795.611055400004</v>
      </c>
      <c r="E14" s="463">
        <v>1</v>
      </c>
      <c r="F14" s="479">
        <f>$D14*E14</f>
        <v>37795.611055400004</v>
      </c>
      <c r="G14" s="463">
        <v>0</v>
      </c>
      <c r="H14" s="464">
        <f>$D$14*G14</f>
        <v>0</v>
      </c>
      <c r="I14" s="463"/>
      <c r="J14" s="464"/>
      <c r="K14" s="463"/>
      <c r="L14" s="464"/>
      <c r="M14" s="463"/>
      <c r="N14" s="464"/>
      <c r="O14" s="463"/>
      <c r="P14" s="464"/>
      <c r="Q14" s="463"/>
      <c r="R14" s="464"/>
      <c r="S14" s="464"/>
      <c r="T14" s="464"/>
      <c r="U14" s="464"/>
      <c r="V14" s="464"/>
      <c r="W14" s="464"/>
      <c r="X14" s="464"/>
      <c r="Y14" s="464"/>
      <c r="Z14" s="464"/>
      <c r="AA14" s="464"/>
      <c r="AB14" s="501"/>
    </row>
    <row r="15" spans="1:28" x14ac:dyDescent="0.25">
      <c r="A15" s="500">
        <f>'[1]PLANILHA ORÇAMENTÁRIA'!A28</f>
        <v>2</v>
      </c>
      <c r="B15" s="462" t="str">
        <f>'Planilha orçamentária'!D16</f>
        <v>CAMPO DE FUTEBOL</v>
      </c>
      <c r="C15" s="463">
        <f t="shared" ref="C15:C20" si="0">D15/$D$22</f>
        <v>3.2933430093719039E-2</v>
      </c>
      <c r="D15" s="478">
        <f>'Planilha orçamentária'!I16</f>
        <v>67157.205790819527</v>
      </c>
      <c r="E15" s="463">
        <v>0.3</v>
      </c>
      <c r="F15" s="479">
        <f>$D15*E15</f>
        <v>20147.161737245857</v>
      </c>
      <c r="G15" s="463">
        <v>0.3</v>
      </c>
      <c r="H15" s="479">
        <f>$D15*G15</f>
        <v>20147.161737245857</v>
      </c>
      <c r="I15" s="463">
        <v>0.4</v>
      </c>
      <c r="J15" s="479">
        <f>$D15*I15</f>
        <v>26862.882316327814</v>
      </c>
      <c r="K15" s="463"/>
      <c r="L15" s="479"/>
      <c r="M15" s="463"/>
      <c r="N15" s="464"/>
      <c r="O15" s="463"/>
      <c r="P15" s="464"/>
      <c r="Q15" s="464"/>
      <c r="R15" s="464"/>
      <c r="S15" s="464"/>
      <c r="T15" s="464"/>
      <c r="U15" s="464"/>
      <c r="V15" s="464"/>
      <c r="W15" s="464"/>
      <c r="X15" s="464"/>
      <c r="Y15" s="464"/>
      <c r="Z15" s="464"/>
      <c r="AA15" s="464"/>
      <c r="AB15" s="501"/>
    </row>
    <row r="16" spans="1:28" x14ac:dyDescent="0.25">
      <c r="A16" s="500" t="str">
        <f>'[1]PLANILHA ORÇAMENTÁRIA'!A38</f>
        <v>3.0</v>
      </c>
      <c r="B16" s="462" t="str">
        <f>'Planilha orçamentária'!D32</f>
        <v>QUADRA DE VOLEI</v>
      </c>
      <c r="C16" s="463">
        <f t="shared" si="0"/>
        <v>8.3962575263525092E-3</v>
      </c>
      <c r="D16" s="478">
        <f>'Planilha orçamentária'!I32</f>
        <v>17121.483943985299</v>
      </c>
      <c r="E16" s="463">
        <v>1</v>
      </c>
      <c r="F16" s="479">
        <f>$D16*E16</f>
        <v>17121.483943985299</v>
      </c>
      <c r="G16" s="463"/>
      <c r="H16" s="479"/>
      <c r="I16" s="463"/>
      <c r="J16" s="464"/>
      <c r="K16" s="463"/>
      <c r="L16" s="464"/>
      <c r="M16" s="463"/>
      <c r="N16" s="464"/>
      <c r="O16" s="463"/>
      <c r="P16" s="464"/>
      <c r="Q16" s="464"/>
      <c r="R16" s="464"/>
      <c r="S16" s="464"/>
      <c r="T16" s="464"/>
      <c r="U16" s="464"/>
      <c r="V16" s="464"/>
      <c r="W16" s="464"/>
      <c r="X16" s="464"/>
      <c r="Y16" s="464"/>
      <c r="Z16" s="464"/>
      <c r="AA16" s="464"/>
      <c r="AB16" s="501"/>
    </row>
    <row r="17" spans="1:28" x14ac:dyDescent="0.25">
      <c r="A17" s="500">
        <f>'[1]PLANILHA ORÇAMENTÁRIA'!A42</f>
        <v>4</v>
      </c>
      <c r="B17" s="476" t="str">
        <f>'Planilha orçamentária'!D41</f>
        <v>PISCINA E ARQUIBANCADAS</v>
      </c>
      <c r="C17" s="463">
        <f t="shared" si="0"/>
        <v>0.35500374685885833</v>
      </c>
      <c r="D17" s="478">
        <f>'Planilha orçamentária'!I41</f>
        <v>723916.68940853025</v>
      </c>
      <c r="E17" s="463"/>
      <c r="F17" s="464"/>
      <c r="G17" s="463"/>
      <c r="H17" s="464"/>
      <c r="I17" s="463">
        <v>0.2</v>
      </c>
      <c r="J17" s="479">
        <f>$D17*I17</f>
        <v>144783.33788170604</v>
      </c>
      <c r="K17" s="463">
        <v>0.2</v>
      </c>
      <c r="L17" s="479">
        <f>$D17*K17</f>
        <v>144783.33788170604</v>
      </c>
      <c r="M17" s="463">
        <v>0.2</v>
      </c>
      <c r="N17" s="479">
        <f>$D17*M17</f>
        <v>144783.33788170604</v>
      </c>
      <c r="O17" s="463">
        <v>0.2</v>
      </c>
      <c r="P17" s="479">
        <f>$D17*O17</f>
        <v>144783.33788170604</v>
      </c>
      <c r="Q17" s="481">
        <v>0.2</v>
      </c>
      <c r="R17" s="479">
        <f>$D17*Q17</f>
        <v>144783.33788170604</v>
      </c>
      <c r="S17" s="464"/>
      <c r="T17" s="464"/>
      <c r="U17" s="464"/>
      <c r="V17" s="464"/>
      <c r="W17" s="464"/>
      <c r="X17" s="464"/>
      <c r="Y17" s="464"/>
      <c r="Z17" s="464"/>
      <c r="AA17" s="464"/>
      <c r="AB17" s="501"/>
    </row>
    <row r="18" spans="1:28" x14ac:dyDescent="0.25">
      <c r="A18" s="500" t="str">
        <f>'[1]PLANILHA ORÇAMENTÁRIA'!A43</f>
        <v>4.1</v>
      </c>
      <c r="B18" s="465" t="str">
        <f>'Planilha orçamentária'!D84</f>
        <v>ÁREA EXTERNA E ESTACIONAMENTO</v>
      </c>
      <c r="C18" s="463">
        <f t="shared" si="0"/>
        <v>3.1960636686678902E-2</v>
      </c>
      <c r="D18" s="478">
        <f>'Planilha orçamentária'!I84</f>
        <v>65173.504523061005</v>
      </c>
      <c r="E18" s="463"/>
      <c r="F18" s="464"/>
      <c r="G18" s="463">
        <v>0.4</v>
      </c>
      <c r="H18" s="479">
        <f>$D18*G18</f>
        <v>26069.401809224404</v>
      </c>
      <c r="I18" s="463">
        <v>0.3</v>
      </c>
      <c r="J18" s="479">
        <f>$D18*I18</f>
        <v>19552.051356918302</v>
      </c>
      <c r="K18" s="463">
        <v>0.3</v>
      </c>
      <c r="L18" s="479">
        <f>$D18*K18</f>
        <v>19552.051356918302</v>
      </c>
      <c r="M18" s="463"/>
      <c r="N18" s="464"/>
      <c r="O18" s="463"/>
      <c r="P18" s="464"/>
      <c r="Q18" s="480"/>
      <c r="R18" s="464"/>
      <c r="S18" s="464"/>
      <c r="T18" s="464"/>
      <c r="U18" s="464"/>
      <c r="V18" s="464"/>
      <c r="W18" s="464"/>
      <c r="X18" s="464"/>
      <c r="Y18" s="464"/>
      <c r="Z18" s="464"/>
      <c r="AA18" s="464"/>
      <c r="AB18" s="501"/>
    </row>
    <row r="19" spans="1:28" ht="22.5" x14ac:dyDescent="0.25">
      <c r="A19" s="500" t="str">
        <f>'[1]PLANILHA ORÇAMENTÁRIA'!A49</f>
        <v>4.2</v>
      </c>
      <c r="B19" s="461" t="str">
        <f>'Planilha orçamentária'!D94</f>
        <v>ÁREA ADMINISTRATIVA E DE APOIO (INCLUSIVE VESTIÁRIOS)</v>
      </c>
      <c r="C19" s="463">
        <f t="shared" si="0"/>
        <v>0.47268384091108429</v>
      </c>
      <c r="D19" s="478">
        <f>'Planilha orçamentária'!I94</f>
        <v>963887.63295308326</v>
      </c>
      <c r="E19" s="463"/>
      <c r="F19" s="464"/>
      <c r="G19" s="463"/>
      <c r="H19" s="464"/>
      <c r="I19" s="463"/>
      <c r="J19" s="464"/>
      <c r="K19" s="463"/>
      <c r="L19" s="464"/>
      <c r="M19" s="463"/>
      <c r="N19" s="464"/>
      <c r="O19" s="463"/>
      <c r="P19" s="464"/>
      <c r="Q19" s="481">
        <v>0.2</v>
      </c>
      <c r="R19" s="479">
        <f>$D19*Q19</f>
        <v>192777.52659061668</v>
      </c>
      <c r="S19" s="481">
        <v>0.2</v>
      </c>
      <c r="T19" s="479">
        <f>$D19*S19</f>
        <v>192777.52659061668</v>
      </c>
      <c r="U19" s="481">
        <v>0.2</v>
      </c>
      <c r="V19" s="479">
        <f>$D19*U19</f>
        <v>192777.52659061668</v>
      </c>
      <c r="W19" s="481">
        <v>0.2</v>
      </c>
      <c r="X19" s="479">
        <f>$D19*W19</f>
        <v>192777.52659061668</v>
      </c>
      <c r="Y19" s="481">
        <v>0.2</v>
      </c>
      <c r="Z19" s="479">
        <f>$D19*Y19</f>
        <v>192777.52659061668</v>
      </c>
      <c r="AA19" s="464"/>
      <c r="AB19" s="501"/>
    </row>
    <row r="20" spans="1:28" ht="22.5" x14ac:dyDescent="0.25">
      <c r="A20" s="500" t="str">
        <f>'[1]PLANILHA ORÇAMENTÁRIA'!A53</f>
        <v>4.3</v>
      </c>
      <c r="B20" s="466" t="str">
        <f>'Planilha orçamentária'!D209</f>
        <v>QUADRA ESPORTIVA (INCLUSIVE VESTIÁRIOS) - CONFORME ORÇAMENTO DE 2013</v>
      </c>
      <c r="C20" s="463">
        <f t="shared" si="0"/>
        <v>8.048738118730156E-2</v>
      </c>
      <c r="D20" s="478">
        <f>'Planilha orçamentária'!I210+'Planilha orçamentária'!I213+'Planilha orçamentária'!I215+'Planilha orçamentária'!I221+'Planilha orçamentária'!I223+'Planilha orçamentária'!I232+'Planilha orçamentária'!I249+'Planilha orçamentária'!I255+'Planilha orçamentária'!I277+'Planilha orçamentária'!I280+'Planilha orçamentária'!I288</f>
        <v>164128.29172600002</v>
      </c>
      <c r="E20" s="463"/>
      <c r="F20" s="464"/>
      <c r="G20" s="463"/>
      <c r="H20" s="464"/>
      <c r="I20" s="463"/>
      <c r="J20" s="464"/>
      <c r="K20" s="463"/>
      <c r="L20" s="464"/>
      <c r="M20" s="463"/>
      <c r="N20" s="464"/>
      <c r="O20" s="463"/>
      <c r="P20" s="464"/>
      <c r="Q20" s="464"/>
      <c r="R20" s="464"/>
      <c r="S20" s="464"/>
      <c r="T20" s="464"/>
      <c r="U20" s="464"/>
      <c r="V20" s="464"/>
      <c r="W20" s="481">
        <v>0.3</v>
      </c>
      <c r="X20" s="479">
        <f>$D20*W20</f>
        <v>49238.487517800007</v>
      </c>
      <c r="Y20" s="481">
        <v>0.3</v>
      </c>
      <c r="Z20" s="479">
        <f>$D20*Y20</f>
        <v>49238.487517800007</v>
      </c>
      <c r="AA20" s="481">
        <v>0.4</v>
      </c>
      <c r="AB20" s="502">
        <f>$D20*AA20</f>
        <v>65651.31669040001</v>
      </c>
    </row>
    <row r="21" spans="1:28" ht="15" customHeight="1" x14ac:dyDescent="0.25">
      <c r="A21" s="503" t="s">
        <v>713</v>
      </c>
      <c r="B21" s="467"/>
      <c r="C21" s="463">
        <f>SUM(C14:C20)</f>
        <v>1</v>
      </c>
      <c r="D21" s="463"/>
      <c r="E21" s="469"/>
      <c r="F21" s="470">
        <f>F22/$D$22</f>
        <v>3.6810993290473722E-2</v>
      </c>
      <c r="G21" s="471"/>
      <c r="H21" s="470">
        <f>H22/$D$22</f>
        <v>2.2664283702787273E-2</v>
      </c>
      <c r="I21" s="471"/>
      <c r="J21" s="470">
        <f>J22/$D$22</f>
        <v>9.3762312415262936E-2</v>
      </c>
      <c r="K21" s="471"/>
      <c r="L21" s="470">
        <f>L22/$D$22</f>
        <v>8.0588940377775323E-2</v>
      </c>
      <c r="M21" s="471"/>
      <c r="N21" s="470">
        <f>N22/$D$22</f>
        <v>7.1000749371771657E-2</v>
      </c>
      <c r="O21" s="471"/>
      <c r="P21" s="470">
        <f>P22/$D$22</f>
        <v>7.1000749371771657E-2</v>
      </c>
      <c r="Q21" s="471"/>
      <c r="R21" s="470">
        <f>R22/$D$22</f>
        <v>0.16553751755398854</v>
      </c>
      <c r="S21" s="471"/>
      <c r="T21" s="470">
        <f>T22/$D$22</f>
        <v>9.453676818221686E-2</v>
      </c>
      <c r="U21" s="471"/>
      <c r="V21" s="470">
        <f>V22/$D$22</f>
        <v>9.453676818221686E-2</v>
      </c>
      <c r="W21" s="471"/>
      <c r="X21" s="470">
        <f>X22/$D$22</f>
        <v>0.11868298253840733</v>
      </c>
      <c r="Y21" s="471"/>
      <c r="Z21" s="470">
        <f>Z22/$D$22</f>
        <v>0.11868298253840733</v>
      </c>
      <c r="AA21" s="471"/>
      <c r="AB21" s="504">
        <f>AB22/$D$22</f>
        <v>3.2194952474920623E-2</v>
      </c>
    </row>
    <row r="22" spans="1:28" x14ac:dyDescent="0.25">
      <c r="A22" s="505" t="s">
        <v>714</v>
      </c>
      <c r="B22" s="472"/>
      <c r="C22" s="461"/>
      <c r="D22" s="477">
        <f>SUM(D14:D21)</f>
        <v>2039180.4194008792</v>
      </c>
      <c r="E22" s="473"/>
      <c r="F22" s="473">
        <f>SUM(F14:F20)</f>
        <v>75064.256736631156</v>
      </c>
      <c r="G22" s="473"/>
      <c r="H22" s="473">
        <f>SUM(H14:H20)</f>
        <v>46216.563546470265</v>
      </c>
      <c r="I22" s="473"/>
      <c r="J22" s="473">
        <f>SUM(J14:J20)</f>
        <v>191198.27155495214</v>
      </c>
      <c r="K22" s="473"/>
      <c r="L22" s="473">
        <f>SUM(L14:L20)</f>
        <v>164335.38923862434</v>
      </c>
      <c r="M22" s="473"/>
      <c r="N22" s="473">
        <f>SUM(N14:N20)</f>
        <v>144783.33788170604</v>
      </c>
      <c r="O22" s="473"/>
      <c r="P22" s="473">
        <f>SUM(P14:P20)</f>
        <v>144783.33788170604</v>
      </c>
      <c r="Q22" s="473"/>
      <c r="R22" s="473">
        <f>SUM(R14:R20)</f>
        <v>337560.86447232275</v>
      </c>
      <c r="S22" s="473"/>
      <c r="T22" s="473">
        <f>SUM(T14:T20)</f>
        <v>192777.52659061668</v>
      </c>
      <c r="U22" s="473"/>
      <c r="V22" s="473">
        <f>SUM(V14:V20)</f>
        <v>192777.52659061668</v>
      </c>
      <c r="W22" s="473"/>
      <c r="X22" s="473">
        <f>SUM(X14:X20)</f>
        <v>242016.01410841668</v>
      </c>
      <c r="Y22" s="473"/>
      <c r="Z22" s="473">
        <f>SUM(Z14:Z20)</f>
        <v>242016.01410841668</v>
      </c>
      <c r="AA22" s="473"/>
      <c r="AB22" s="506">
        <f>SUM(AB14:AB20)</f>
        <v>65651.31669040001</v>
      </c>
    </row>
    <row r="23" spans="1:28" ht="15" customHeight="1" x14ac:dyDescent="0.25">
      <c r="A23" s="505" t="s">
        <v>715</v>
      </c>
      <c r="B23" s="472"/>
      <c r="C23" s="461"/>
      <c r="D23" s="461"/>
      <c r="E23" s="469"/>
      <c r="F23" s="470">
        <f>F24/$D$22</f>
        <v>3.6810993290473722E-2</v>
      </c>
      <c r="G23" s="474"/>
      <c r="H23" s="470">
        <f>H21+F23</f>
        <v>5.9475276993260995E-2</v>
      </c>
      <c r="I23" s="474"/>
      <c r="J23" s="470">
        <f>J21+H23</f>
        <v>0.15323758940852394</v>
      </c>
      <c r="K23" s="474"/>
      <c r="L23" s="470">
        <f>L21+J23</f>
        <v>0.23382652978629925</v>
      </c>
      <c r="M23" s="474"/>
      <c r="N23" s="470">
        <f>N21+L23</f>
        <v>0.3048272791580709</v>
      </c>
      <c r="O23" s="474"/>
      <c r="P23" s="470">
        <f>P21+N23</f>
        <v>0.37582802852984254</v>
      </c>
      <c r="Q23" s="474"/>
      <c r="R23" s="470">
        <f>R21+P23</f>
        <v>0.54136554608383114</v>
      </c>
      <c r="S23" s="474"/>
      <c r="T23" s="470">
        <f>T21+R23</f>
        <v>0.63590231426604804</v>
      </c>
      <c r="U23" s="474"/>
      <c r="V23" s="470">
        <f>V21+T23</f>
        <v>0.73043908244826494</v>
      </c>
      <c r="W23" s="474"/>
      <c r="X23" s="470">
        <f>X21+V23</f>
        <v>0.84912206498667231</v>
      </c>
      <c r="Y23" s="474"/>
      <c r="Z23" s="470">
        <f>Z21+X23</f>
        <v>0.96780504752507968</v>
      </c>
      <c r="AA23" s="474"/>
      <c r="AB23" s="504">
        <f>AB21+Z23</f>
        <v>1.0000000000000002</v>
      </c>
    </row>
    <row r="24" spans="1:28" ht="15" customHeight="1" x14ac:dyDescent="0.25">
      <c r="A24" s="505" t="s">
        <v>716</v>
      </c>
      <c r="B24" s="472"/>
      <c r="C24" s="461"/>
      <c r="D24" s="461"/>
      <c r="E24" s="469"/>
      <c r="F24" s="475">
        <f>F22</f>
        <v>75064.256736631156</v>
      </c>
      <c r="G24" s="474"/>
      <c r="H24" s="468">
        <f>H22+F24</f>
        <v>121280.82028310142</v>
      </c>
      <c r="I24" s="474"/>
      <c r="J24" s="468">
        <f>J22+H24</f>
        <v>312479.09183805354</v>
      </c>
      <c r="K24" s="474"/>
      <c r="L24" s="468">
        <f>L22+J24</f>
        <v>476814.48107667791</v>
      </c>
      <c r="M24" s="474"/>
      <c r="N24" s="468">
        <f>N22+L24</f>
        <v>621597.81895838398</v>
      </c>
      <c r="O24" s="474"/>
      <c r="P24" s="468">
        <f>P22+N24</f>
        <v>766381.15684009006</v>
      </c>
      <c r="Q24" s="474"/>
      <c r="R24" s="468">
        <f>R22+P24</f>
        <v>1103942.0213124128</v>
      </c>
      <c r="S24" s="474"/>
      <c r="T24" s="468">
        <f>T22+R24</f>
        <v>1296719.5479030295</v>
      </c>
      <c r="U24" s="474"/>
      <c r="V24" s="468">
        <f>V22+T24</f>
        <v>1489497.0744936462</v>
      </c>
      <c r="W24" s="474"/>
      <c r="X24" s="468">
        <f>X22+V24</f>
        <v>1731513.0886020628</v>
      </c>
      <c r="Y24" s="474"/>
      <c r="Z24" s="468">
        <f>Z22+X24</f>
        <v>1973529.1027104794</v>
      </c>
      <c r="AA24" s="474"/>
      <c r="AB24" s="507">
        <f>AB22+Z24</f>
        <v>2039180.4194008794</v>
      </c>
    </row>
    <row r="25" spans="1:28" x14ac:dyDescent="0.25">
      <c r="A25" s="508"/>
      <c r="B25" s="509"/>
      <c r="C25" s="509"/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9"/>
      <c r="T25" s="509"/>
      <c r="U25" s="509"/>
      <c r="V25" s="509"/>
      <c r="W25" s="509"/>
      <c r="X25" s="509"/>
      <c r="Y25" s="509"/>
      <c r="Z25" s="509"/>
      <c r="AA25" s="509"/>
      <c r="AB25" s="510"/>
    </row>
    <row r="26" spans="1:28" x14ac:dyDescent="0.25">
      <c r="A26" s="508"/>
      <c r="B26" s="509"/>
      <c r="C26" s="509"/>
      <c r="D26" s="509"/>
      <c r="E26" s="509"/>
      <c r="F26" s="509"/>
      <c r="G26" s="509"/>
      <c r="H26" s="509"/>
      <c r="I26" s="509"/>
      <c r="J26" s="509"/>
      <c r="K26" s="509"/>
      <c r="L26" s="509"/>
      <c r="M26" s="509"/>
      <c r="N26" s="509"/>
      <c r="O26" s="509"/>
      <c r="P26" s="509"/>
      <c r="Q26" s="509"/>
      <c r="R26" s="509"/>
      <c r="S26" s="509"/>
      <c r="T26" s="509"/>
      <c r="U26" s="509"/>
      <c r="V26" s="509"/>
      <c r="W26" s="509"/>
      <c r="X26" s="509"/>
      <c r="Y26" s="509"/>
      <c r="Z26" s="509"/>
      <c r="AA26" s="509"/>
      <c r="AB26" s="510"/>
    </row>
    <row r="27" spans="1:28" ht="15.75" thickBot="1" x14ac:dyDescent="0.3">
      <c r="A27" s="511"/>
      <c r="B27" s="512"/>
      <c r="C27" s="512"/>
      <c r="D27" s="512"/>
      <c r="E27" s="512"/>
      <c r="F27" s="512"/>
      <c r="G27" s="512"/>
      <c r="H27" s="512"/>
      <c r="I27" s="512"/>
      <c r="J27" s="512"/>
      <c r="K27" s="512"/>
      <c r="L27" s="512"/>
      <c r="M27" s="512"/>
      <c r="N27" s="512"/>
      <c r="O27" s="512"/>
      <c r="P27" s="512"/>
      <c r="Q27" s="512"/>
      <c r="R27" s="512"/>
      <c r="S27" s="512"/>
      <c r="T27" s="512"/>
      <c r="U27" s="512"/>
      <c r="V27" s="512"/>
      <c r="W27" s="512"/>
      <c r="X27" s="512"/>
      <c r="Y27" s="512"/>
      <c r="Z27" s="512"/>
      <c r="AA27" s="512"/>
      <c r="AB27" s="513"/>
    </row>
  </sheetData>
  <mergeCells count="24">
    <mergeCell ref="A9:Z9"/>
    <mergeCell ref="A10:Z10"/>
    <mergeCell ref="A11:Z11"/>
    <mergeCell ref="A12:Z12"/>
    <mergeCell ref="A23:B23"/>
    <mergeCell ref="A24:B24"/>
    <mergeCell ref="Q13:R13"/>
    <mergeCell ref="S13:T13"/>
    <mergeCell ref="U13:V13"/>
    <mergeCell ref="W13:X13"/>
    <mergeCell ref="A21:B21"/>
    <mergeCell ref="A22:B22"/>
    <mergeCell ref="Y13:Z13"/>
    <mergeCell ref="AA13:AB13"/>
    <mergeCell ref="E13:F13"/>
    <mergeCell ref="G13:H13"/>
    <mergeCell ref="I13:J13"/>
    <mergeCell ref="K13:L13"/>
    <mergeCell ref="M13:N13"/>
    <mergeCell ref="O13:P13"/>
    <mergeCell ref="A1:AB5"/>
    <mergeCell ref="A6:AB8"/>
    <mergeCell ref="AA9:AA12"/>
    <mergeCell ref="AB9:AB12"/>
  </mergeCells>
  <pageMargins left="0.511811024" right="0.511811024" top="0.78740157499999996" bottom="0.78740157499999996" header="0.31496062000000002" footer="0.31496062000000002"/>
  <pageSetup paperSize="9" scale="39" fitToHeight="0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Planilha orçamentária</vt:lpstr>
      <vt:lpstr>Memória de Cálculo </vt:lpstr>
      <vt:lpstr>Composições</vt:lpstr>
      <vt:lpstr>C. Próprias</vt:lpstr>
      <vt:lpstr>Cronograma Físico-Financeiro</vt:lpstr>
      <vt:lpstr>'C. Próprias'!Titulos_de_impressao</vt:lpstr>
      <vt:lpstr>Composições!Titulos_de_impressao</vt:lpstr>
      <vt:lpstr>'Memória de Cálculo '!Titulos_de_impressao</vt:lpstr>
      <vt:lpstr>'Planilha orçamentária'!Titulos_de_impressao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Junior</dc:creator>
  <cp:lastModifiedBy>Luiz andré Portela da silva filho Portela</cp:lastModifiedBy>
  <cp:lastPrinted>2019-10-02T20:05:51Z</cp:lastPrinted>
  <dcterms:created xsi:type="dcterms:W3CDTF">2018-05-30T14:47:24Z</dcterms:created>
  <dcterms:modified xsi:type="dcterms:W3CDTF">2019-10-02T20:09:24Z</dcterms:modified>
</cp:coreProperties>
</file>