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ndre\Dropbox\Engenharia\LITICAÇÃO\UBS - BAIRRO SÃO LUIZ\PLANILHAS\Planilhas\"/>
    </mc:Choice>
  </mc:AlternateContent>
  <bookViews>
    <workbookView xWindow="0" yWindow="0" windowWidth="24000" windowHeight="9735" activeTab="2"/>
  </bookViews>
  <sheets>
    <sheet name="Planilha orçamentária" sheetId="1" r:id="rId1"/>
    <sheet name="Memória de Cálculo " sheetId="2" r:id="rId2"/>
    <sheet name="Cronograma físico financeiro" sheetId="3" r:id="rId3"/>
  </sheets>
  <calcPr calcId="152511"/>
</workbook>
</file>

<file path=xl/calcChain.xml><?xml version="1.0" encoding="utf-8"?>
<calcChain xmlns="http://schemas.openxmlformats.org/spreadsheetml/2006/main">
  <c r="F44" i="3" l="1"/>
  <c r="C38" i="3"/>
  <c r="I38" i="3" s="1"/>
  <c r="C36" i="3"/>
  <c r="C34" i="3"/>
  <c r="I34" i="3" s="1"/>
  <c r="C32" i="3"/>
  <c r="H32" i="3" s="1"/>
  <c r="C30" i="3"/>
  <c r="H30" i="3" s="1"/>
  <c r="C22" i="3"/>
  <c r="C28" i="3"/>
  <c r="H28" i="3" s="1"/>
  <c r="C26" i="3"/>
  <c r="C27" i="3" s="1"/>
  <c r="C24" i="3"/>
  <c r="E24" i="3" s="1"/>
  <c r="C20" i="3"/>
  <c r="F20" i="3" s="1"/>
  <c r="C18" i="3"/>
  <c r="D18" i="3" s="1"/>
  <c r="C16" i="3"/>
  <c r="C14" i="3"/>
  <c r="D14" i="3" s="1"/>
  <c r="I32" i="3" l="1"/>
  <c r="D20" i="3"/>
  <c r="E20" i="3"/>
  <c r="H26" i="3"/>
  <c r="H40" i="3" s="1"/>
  <c r="H41" i="3" s="1"/>
  <c r="E18" i="3"/>
  <c r="D24" i="3"/>
  <c r="F24" i="3"/>
  <c r="C23" i="3"/>
  <c r="D22" i="3"/>
  <c r="F26" i="3"/>
  <c r="I30" i="3"/>
  <c r="C29" i="3"/>
  <c r="C17" i="3"/>
  <c r="C33" i="3"/>
  <c r="F22" i="3"/>
  <c r="G32" i="3"/>
  <c r="C31" i="3"/>
  <c r="C19" i="3"/>
  <c r="C35" i="3"/>
  <c r="D16" i="3"/>
  <c r="E26" i="3"/>
  <c r="G30" i="3"/>
  <c r="C15" i="3"/>
  <c r="C21" i="3"/>
  <c r="C37" i="3"/>
  <c r="F18" i="3"/>
  <c r="G28" i="3"/>
  <c r="I28" i="3"/>
  <c r="C25" i="3"/>
  <c r="C39" i="3"/>
  <c r="E22" i="3"/>
  <c r="G26" i="3"/>
  <c r="I36" i="3"/>
  <c r="J68" i="1"/>
  <c r="J204" i="1"/>
  <c r="J199" i="1"/>
  <c r="J194" i="1"/>
  <c r="J190" i="1"/>
  <c r="J185" i="1"/>
  <c r="J176" i="1"/>
  <c r="J165" i="1"/>
  <c r="J146" i="1"/>
  <c r="J134" i="1"/>
  <c r="J126" i="1"/>
  <c r="J121" i="1"/>
  <c r="J107" i="1"/>
  <c r="J105" i="1"/>
  <c r="J45" i="1"/>
  <c r="J12" i="1"/>
  <c r="J13" i="1"/>
  <c r="J14" i="1"/>
  <c r="J18" i="1"/>
  <c r="J19" i="1"/>
  <c r="J20" i="1"/>
  <c r="J21" i="1"/>
  <c r="J24" i="1"/>
  <c r="J25" i="1"/>
  <c r="J26" i="1"/>
  <c r="J27" i="1"/>
  <c r="J28" i="1"/>
  <c r="J31" i="1"/>
  <c r="J32" i="1"/>
  <c r="J33" i="1"/>
  <c r="J34" i="1"/>
  <c r="J35" i="1"/>
  <c r="J36" i="1"/>
  <c r="J37" i="1"/>
  <c r="J39" i="1"/>
  <c r="J40" i="1"/>
  <c r="J41" i="1"/>
  <c r="J42" i="1"/>
  <c r="J43" i="1"/>
  <c r="J38" i="1" s="1"/>
  <c r="J44" i="1"/>
  <c r="J46" i="1"/>
  <c r="J50" i="1"/>
  <c r="J49" i="1" s="1"/>
  <c r="J51" i="1"/>
  <c r="J52" i="1"/>
  <c r="J55" i="1"/>
  <c r="J56" i="1"/>
  <c r="J57" i="1"/>
  <c r="J58" i="1"/>
  <c r="J59" i="1"/>
  <c r="J60" i="1"/>
  <c r="J61" i="1"/>
  <c r="J62" i="1"/>
  <c r="J63" i="1"/>
  <c r="J69" i="1"/>
  <c r="J70" i="1"/>
  <c r="J71" i="1"/>
  <c r="J72" i="1"/>
  <c r="J75" i="1"/>
  <c r="J74" i="1" s="1"/>
  <c r="J76" i="1"/>
  <c r="J77" i="1"/>
  <c r="J78" i="1"/>
  <c r="J79" i="1"/>
  <c r="J80" i="1"/>
  <c r="J82" i="1"/>
  <c r="J81" i="1" s="1"/>
  <c r="J83" i="1"/>
  <c r="J84" i="1"/>
  <c r="J87" i="1"/>
  <c r="J86" i="1" s="1"/>
  <c r="J88" i="1"/>
  <c r="J89" i="1"/>
  <c r="J90" i="1"/>
  <c r="J91" i="1"/>
  <c r="J92" i="1"/>
  <c r="J93" i="1"/>
  <c r="J94" i="1"/>
  <c r="J96" i="1"/>
  <c r="J97" i="1"/>
  <c r="J98" i="1"/>
  <c r="J95" i="1" s="1"/>
  <c r="J99" i="1"/>
  <c r="J101" i="1"/>
  <c r="J100" i="1" s="1"/>
  <c r="J102" i="1"/>
  <c r="J103" i="1"/>
  <c r="J106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1" i="1"/>
  <c r="J132" i="1"/>
  <c r="J133" i="1"/>
  <c r="J135" i="1"/>
  <c r="J136" i="1"/>
  <c r="J137" i="1"/>
  <c r="J138" i="1"/>
  <c r="J139" i="1"/>
  <c r="J140" i="1"/>
  <c r="J141" i="1"/>
  <c r="J142" i="1"/>
  <c r="J143" i="1"/>
  <c r="J144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6" i="1"/>
  <c r="J167" i="1"/>
  <c r="J168" i="1"/>
  <c r="J169" i="1"/>
  <c r="J170" i="1"/>
  <c r="J171" i="1"/>
  <c r="J172" i="1"/>
  <c r="J173" i="1"/>
  <c r="J174" i="1"/>
  <c r="J175" i="1"/>
  <c r="J177" i="1"/>
  <c r="J178" i="1"/>
  <c r="J179" i="1"/>
  <c r="J180" i="1"/>
  <c r="J181" i="1"/>
  <c r="J182" i="1"/>
  <c r="J183" i="1"/>
  <c r="J184" i="1"/>
  <c r="J186" i="1"/>
  <c r="J187" i="1"/>
  <c r="J188" i="1"/>
  <c r="J189" i="1"/>
  <c r="J191" i="1"/>
  <c r="J192" i="1"/>
  <c r="J193" i="1"/>
  <c r="J195" i="1"/>
  <c r="J196" i="1"/>
  <c r="J197" i="1"/>
  <c r="J198" i="1"/>
  <c r="J200" i="1"/>
  <c r="J201" i="1"/>
  <c r="J202" i="1"/>
  <c r="J203" i="1"/>
  <c r="J205" i="1"/>
  <c r="J206" i="1"/>
  <c r="J207" i="1"/>
  <c r="J208" i="1"/>
  <c r="J8" i="1"/>
  <c r="I9" i="1"/>
  <c r="I10" i="1"/>
  <c r="I11" i="1"/>
  <c r="I12" i="1"/>
  <c r="I13" i="1"/>
  <c r="I14" i="1"/>
  <c r="I15" i="1"/>
  <c r="I16" i="1"/>
  <c r="I18" i="1"/>
  <c r="I19" i="1"/>
  <c r="I20" i="1"/>
  <c r="I21" i="1"/>
  <c r="I23" i="1"/>
  <c r="I24" i="1"/>
  <c r="I25" i="1"/>
  <c r="I26" i="1"/>
  <c r="I27" i="1"/>
  <c r="I28" i="1"/>
  <c r="I31" i="1"/>
  <c r="I32" i="1"/>
  <c r="I33" i="1"/>
  <c r="I34" i="1"/>
  <c r="I35" i="1"/>
  <c r="I36" i="1"/>
  <c r="I37" i="1"/>
  <c r="I39" i="1"/>
  <c r="I40" i="1"/>
  <c r="I41" i="1"/>
  <c r="I42" i="1"/>
  <c r="I43" i="1"/>
  <c r="I44" i="1"/>
  <c r="I46" i="1"/>
  <c r="I50" i="1"/>
  <c r="I51" i="1"/>
  <c r="I52" i="1"/>
  <c r="I55" i="1"/>
  <c r="I56" i="1"/>
  <c r="I57" i="1"/>
  <c r="I58" i="1"/>
  <c r="I59" i="1"/>
  <c r="I60" i="1"/>
  <c r="I61" i="1"/>
  <c r="I62" i="1"/>
  <c r="I63" i="1"/>
  <c r="I64" i="1"/>
  <c r="I66" i="1"/>
  <c r="I67" i="1"/>
  <c r="I68" i="1"/>
  <c r="I69" i="1"/>
  <c r="I70" i="1"/>
  <c r="I71" i="1"/>
  <c r="I72" i="1"/>
  <c r="I73" i="1"/>
  <c r="I75" i="1"/>
  <c r="I76" i="1"/>
  <c r="I77" i="1"/>
  <c r="I78" i="1"/>
  <c r="I79" i="1"/>
  <c r="I80" i="1"/>
  <c r="I82" i="1"/>
  <c r="I83" i="1"/>
  <c r="I84" i="1"/>
  <c r="I87" i="1"/>
  <c r="I88" i="1"/>
  <c r="I89" i="1"/>
  <c r="I90" i="1"/>
  <c r="I91" i="1"/>
  <c r="I92" i="1"/>
  <c r="I93" i="1"/>
  <c r="I94" i="1"/>
  <c r="I96" i="1"/>
  <c r="I97" i="1"/>
  <c r="I98" i="1"/>
  <c r="I99" i="1"/>
  <c r="I101" i="1"/>
  <c r="I102" i="1"/>
  <c r="I103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2" i="1"/>
  <c r="I123" i="1"/>
  <c r="I124" i="1"/>
  <c r="I125" i="1"/>
  <c r="I127" i="1"/>
  <c r="I128" i="1"/>
  <c r="I129" i="1"/>
  <c r="I130" i="1"/>
  <c r="I131" i="1"/>
  <c r="I132" i="1"/>
  <c r="I133" i="1"/>
  <c r="I135" i="1"/>
  <c r="I136" i="1"/>
  <c r="I137" i="1"/>
  <c r="I138" i="1"/>
  <c r="I139" i="1"/>
  <c r="I140" i="1"/>
  <c r="I141" i="1"/>
  <c r="I142" i="1"/>
  <c r="I143" i="1"/>
  <c r="I144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6" i="1"/>
  <c r="I167" i="1"/>
  <c r="I168" i="1"/>
  <c r="I169" i="1"/>
  <c r="I170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6" i="1"/>
  <c r="I187" i="1"/>
  <c r="I188" i="1"/>
  <c r="I189" i="1"/>
  <c r="I191" i="1"/>
  <c r="I192" i="1"/>
  <c r="I193" i="1"/>
  <c r="I195" i="1"/>
  <c r="I196" i="1"/>
  <c r="I197" i="1"/>
  <c r="I198" i="1"/>
  <c r="I200" i="1"/>
  <c r="I201" i="1"/>
  <c r="I202" i="1"/>
  <c r="I203" i="1"/>
  <c r="I205" i="1"/>
  <c r="I206" i="1"/>
  <c r="I207" i="1"/>
  <c r="I208" i="1"/>
  <c r="I8" i="1"/>
  <c r="D40" i="3" l="1"/>
  <c r="D42" i="3" s="1"/>
  <c r="F40" i="3"/>
  <c r="F41" i="3" s="1"/>
  <c r="G40" i="3"/>
  <c r="G41" i="3" s="1"/>
  <c r="E40" i="3"/>
  <c r="E41" i="3" s="1"/>
  <c r="I40" i="3"/>
  <c r="I41" i="3" s="1"/>
  <c r="J30" i="1"/>
  <c r="J17" i="1"/>
  <c r="G41" i="2"/>
  <c r="G39" i="2"/>
  <c r="G33" i="2"/>
  <c r="J37" i="2"/>
  <c r="G37" i="2" s="1"/>
  <c r="J35" i="2"/>
  <c r="G35" i="2" s="1"/>
  <c r="G31" i="2"/>
  <c r="G102" i="2"/>
  <c r="J90" i="2"/>
  <c r="G90" i="2" s="1"/>
  <c r="G92" i="2" s="1"/>
  <c r="G88" i="2"/>
  <c r="J81" i="2"/>
  <c r="H81" i="2"/>
  <c r="G81" i="2" s="1"/>
  <c r="J76" i="2"/>
  <c r="G76" i="2" s="1"/>
  <c r="G70" i="2"/>
  <c r="G63" i="2"/>
  <c r="G62" i="2"/>
  <c r="I60" i="2"/>
  <c r="J60" i="2"/>
  <c r="I56" i="2"/>
  <c r="J56" i="2"/>
  <c r="J54" i="2"/>
  <c r="G54" i="2" s="1"/>
  <c r="J52" i="2"/>
  <c r="G52" i="2" s="1"/>
  <c r="H50" i="2"/>
  <c r="J50" i="2"/>
  <c r="G68" i="2" s="1"/>
  <c r="D41" i="3" l="1"/>
  <c r="D43" i="3" s="1"/>
  <c r="E43" i="3" s="1"/>
  <c r="F43" i="3" s="1"/>
  <c r="G43" i="3" s="1"/>
  <c r="H43" i="3" s="1"/>
  <c r="I43" i="3" s="1"/>
  <c r="E42" i="3"/>
  <c r="F42" i="3" s="1"/>
  <c r="G42" i="3" s="1"/>
  <c r="H42" i="3" s="1"/>
  <c r="I42" i="3" s="1"/>
  <c r="G56" i="2"/>
  <c r="G57" i="2" s="1"/>
  <c r="G91" i="2"/>
  <c r="G60" i="2"/>
  <c r="G61" i="2" s="1"/>
  <c r="G67" i="2" s="1"/>
  <c r="G83" i="2" s="1"/>
  <c r="G50" i="2"/>
  <c r="G72" i="2" s="1"/>
  <c r="G74" i="2" s="1"/>
  <c r="G77" i="2" s="1"/>
  <c r="G78" i="2" s="1"/>
  <c r="G28" i="2"/>
  <c r="J27" i="2"/>
  <c r="G27" i="2" s="1"/>
  <c r="J26" i="2"/>
  <c r="G26" i="2" s="1"/>
  <c r="J22" i="2"/>
  <c r="J25" i="2"/>
  <c r="G25" i="2" s="1"/>
  <c r="I23" i="2"/>
  <c r="J17" i="2"/>
  <c r="J16" i="2"/>
  <c r="G16" i="2" l="1"/>
  <c r="G18" i="2" s="1"/>
  <c r="G85" i="2"/>
  <c r="G84" i="2"/>
  <c r="G86" i="2"/>
  <c r="G22" i="2"/>
  <c r="G24" i="2" s="1"/>
  <c r="G14" i="2"/>
  <c r="G13" i="2"/>
  <c r="G9" i="2"/>
  <c r="G8" i="2"/>
  <c r="J7" i="2"/>
  <c r="I7" i="2"/>
  <c r="G7" i="2" s="1"/>
  <c r="J10" i="1"/>
  <c r="J11" i="1"/>
  <c r="J16" i="1"/>
  <c r="J15" i="1"/>
  <c r="J9" i="1"/>
  <c r="J7" i="1" l="1"/>
  <c r="J23" i="1"/>
  <c r="J22" i="1" s="1"/>
  <c r="I48" i="1"/>
  <c r="J48" i="1" s="1"/>
  <c r="J47" i="1" s="1"/>
  <c r="J67" i="1"/>
  <c r="J66" i="1"/>
  <c r="J73" i="1"/>
  <c r="J65" i="1" l="1"/>
  <c r="J64" i="1"/>
  <c r="J54" i="1" s="1"/>
  <c r="J209" i="1" s="1"/>
</calcChain>
</file>

<file path=xl/sharedStrings.xml><?xml version="1.0" encoding="utf-8"?>
<sst xmlns="http://schemas.openxmlformats.org/spreadsheetml/2006/main" count="2325" uniqueCount="674">
  <si>
    <t>72105</t>
  </si>
  <si>
    <t>9.2</t>
  </si>
  <si>
    <t>73870/001</t>
  </si>
  <si>
    <t>9.3</t>
  </si>
  <si>
    <t>72107</t>
  </si>
  <si>
    <t>9.4</t>
  </si>
  <si>
    <t>9.5</t>
  </si>
  <si>
    <t>CARGA MECANIZADA E REMOCAO E ENTULHO COM TRANSPORTE ATE 1KM</t>
  </si>
  <si>
    <t>96624</t>
  </si>
  <si>
    <t>PISO CIMENTADO TRACO 1:3 (CIMENTO E AREIA) ACABAMENTO RUSTICO ESPESSURA 2CM, PREPARO MECANICO DA ARGAMASSA</t>
  </si>
  <si>
    <t>SABONETEIRA PLASTICA TIPO DISPENSER PARA SABONETE LIQUIDO COM RESERVATORIO 800 A 1500 ML, INCLUSO FIXAÇÃO. AF_10/2016</t>
  </si>
  <si>
    <t>PORTA DE MADEIRA COMPENSADA LISA PARA CERA OU VERNIZ,
90X210X3,5CM, INCLUSO ADUELA 1A, ALIZAR 1A E DOBRADICAS COM ANEL</t>
  </si>
  <si>
    <t>PORTA DE MADEIRA COMPENSADA LISA PARA PINTURA, 80X210X3,5CM, INCLUSO ADUELA 2A, ALIZAR 2A E DOBRADICAS</t>
  </si>
  <si>
    <t>72920</t>
  </si>
  <si>
    <t>Pontos de Suprimento de Lógica</t>
  </si>
  <si>
    <t>74007/001</t>
  </si>
  <si>
    <t>1.1</t>
  </si>
  <si>
    <t>72116</t>
  </si>
  <si>
    <t>1.2</t>
  </si>
  <si>
    <t>88431</t>
  </si>
  <si>
    <t>1.3</t>
  </si>
  <si>
    <t>1.4</t>
  </si>
  <si>
    <t>1.5</t>
  </si>
  <si>
    <t>Alambrados e Gradis</t>
  </si>
  <si>
    <t>1.6</t>
  </si>
  <si>
    <t>ARMACAO DE ACO CA-60 DIAM. 3,4 A 6,0MM.- FORNECIMENTO / CORTE (C/PERDA DE 10%) / DOBRA / COLOCAÇÃO.</t>
  </si>
  <si>
    <t>1.7</t>
  </si>
  <si>
    <t>1.8</t>
  </si>
  <si>
    <t>1.9</t>
  </si>
  <si>
    <t>10303</t>
  </si>
  <si>
    <t>LUVA DE EMENDA PARA ELETRODUTO, AÇO GALVANIZADO, DN 20 MM (3/4''), APARENTE, INSTALADA EM PAREDE - FORNECIMENTO E INSTALAÇÃO. AF_11/2016_P</t>
  </si>
  <si>
    <t>1</t>
  </si>
  <si>
    <t>2</t>
  </si>
  <si>
    <t>3</t>
  </si>
  <si>
    <t>4</t>
  </si>
  <si>
    <t>5</t>
  </si>
  <si>
    <t>6</t>
  </si>
  <si>
    <t>7</t>
  </si>
  <si>
    <t>Mobilização / Instalações Provisórias / Desmobilização</t>
  </si>
  <si>
    <t>8</t>
  </si>
  <si>
    <t>74070/003</t>
  </si>
  <si>
    <t>FORMA PARA ESTRUTURAS DE CONCRETO (PILAR, VIGA E LAJE) EM CHAPA DE MADEIRA COMPENSADA RESINADA, DE 1,10 X 2,20, ESPESSURA = 12 MM, 05 UTILIZACOES. (FABRICACAO, MONTAGEM E DESMONTAGEM)</t>
  </si>
  <si>
    <t>72120</t>
  </si>
  <si>
    <t>9</t>
  </si>
  <si>
    <t>004323</t>
  </si>
  <si>
    <t>Próprio</t>
  </si>
  <si>
    <t>004324</t>
  </si>
  <si>
    <t>PLACA DE OBRA EM CHAPA DE ACO GALVANIZADO</t>
  </si>
  <si>
    <t>KIT DE PORTA DE MADEIRA PARA PINTURA, SEMI-OCA (LEVE OU MÉDIA), PADRÃO POPULAR, 90X210CM, ESPESSURA DE 3,5CM, ITENS INCLUSOS: DOBRADIÇAS, MONTAGEM E INSTALAÇÃO DO BATENTE, FECHADURA COM EXECUÇÃO DO FURO - FORNECIMENTO E INSTALAÇÃO. AF_08/2015</t>
  </si>
  <si>
    <t>8.2.1</t>
  </si>
  <si>
    <t>8.2.2</t>
  </si>
  <si>
    <t>Reservatórios</t>
  </si>
  <si>
    <t>8.2.3</t>
  </si>
  <si>
    <t>8.2.4</t>
  </si>
  <si>
    <t>6500</t>
  </si>
  <si>
    <t>Tubos e Conexões de PVC Rígido Soldável</t>
  </si>
  <si>
    <t>4.1.1</t>
  </si>
  <si>
    <t>4.1.2</t>
  </si>
  <si>
    <t>Tomada posto parede - interna ar comprimido</t>
  </si>
  <si>
    <t>4.1.3</t>
  </si>
  <si>
    <t>4.1.4</t>
  </si>
  <si>
    <t>4.1.5</t>
  </si>
  <si>
    <t>7.1.10</t>
  </si>
  <si>
    <t>4.1.6</t>
  </si>
  <si>
    <t>4.1.7</t>
  </si>
  <si>
    <t>M</t>
  </si>
  <si>
    <t>Aparelhos, Utensílios e Equipamentos Elétricos</t>
  </si>
  <si>
    <t>73992/001</t>
  </si>
  <si>
    <t>ALVENARIA - VEDAÇÃO</t>
  </si>
  <si>
    <t>TAPUME DE CHAPA DE MADEIRA COMPENSADA, E= 6MM, COM PINTURA A CAL E REAPROVEITAMENTO DE 2X</t>
  </si>
  <si>
    <t>9.4.1</t>
  </si>
  <si>
    <t>00037105</t>
  </si>
  <si>
    <t>9.4.2</t>
  </si>
  <si>
    <t>9.4.3</t>
  </si>
  <si>
    <t>9.4.4</t>
  </si>
  <si>
    <t>9.4.5</t>
  </si>
  <si>
    <t>9.4.6</t>
  </si>
  <si>
    <t>9.4.7</t>
  </si>
  <si>
    <t>FORMA TABUA P/ CONCRETO EM FUNDACAO C/ REAPROVEITAMENTO 10 X.</t>
  </si>
  <si>
    <t>1678</t>
  </si>
  <si>
    <t>Rodapé cerâmico 10 x 45 cm, porcelanato, bianco tu polido, linha progetto, Portobello ou similar, aplicado com argamassa industrializada ac-iii, rejuntado</t>
  </si>
  <si>
    <t>MURO DE FECHAMENTO DO RESERV. REAPROVEITAMENTO DE ÁGUA</t>
  </si>
  <si>
    <t>252</t>
  </si>
  <si>
    <t>m</t>
  </si>
  <si>
    <t>REGISTRO GAVETA 3/4" COM CANOPLA ACABAMENTO CROMADO SIMPLES - FORNECIMENTO E INSTALACAO</t>
  </si>
  <si>
    <t>PROTECAO MECANICA DE SUPERFICIE COM ARGAMASSA DE CIMENTO E AREIA, TRACO 1:3, E=2 CM</t>
  </si>
  <si>
    <t>PAREDE</t>
  </si>
  <si>
    <t>IMPERMEABILIZACAO DE ESTRUTURAS ENTERRADAS, COM TINTA ASFALTICA, DUAS DEMAOS.</t>
  </si>
  <si>
    <t>1683</t>
  </si>
  <si>
    <t>LOCACAO CONVENCIONAL DE OBRA, ATRAVÉS DE GABARITO DE TABUAS CORRIDAS PONTALETADAS A CADA 1,50M, SEM REAPROVEITAMENTO</t>
  </si>
  <si>
    <t>Sinalização Vertical</t>
  </si>
  <si>
    <t>8.1</t>
  </si>
  <si>
    <t>8.2</t>
  </si>
  <si>
    <t>8.3</t>
  </si>
  <si>
    <t>Esquadrias de Madeira</t>
  </si>
  <si>
    <t>74133/002</t>
  </si>
  <si>
    <t>PEITORIL EM MARMORE BRANCO, LARGURA DE 15CM, ASSENTADO COM ARGAMASSA TRACO 1:4 (CIMENTO E AREIA MEDIA), PREPARO MANUAL DA ARGAMASSA</t>
  </si>
  <si>
    <t>Switch 24 portas 10/100 Mbps - fornecimento</t>
  </si>
  <si>
    <t>Barra de apoio em tubo de aço galvanizado, d=2", inclusive pintura em esmalte sintético</t>
  </si>
  <si>
    <t>Placa em chapa aço galvanizado Ø 1,20mx2mm com 14 letras de 10cmx2mm pintadas</t>
  </si>
  <si>
    <t>SEINFRA</t>
  </si>
  <si>
    <t>GALPAO ABERTO PARA OFICINA E DEPOSITO DE CANTEIRO DE OBRAS, EM MADEIRA DE LEI</t>
  </si>
  <si>
    <t>Placa de sinalização em acrílico transparente 3mm, com aplicação de adesivo digital sobreposto, dim:45x18cm, para fixação no teto através de correntes de aço inox, inclusive correntes e instalação</t>
  </si>
  <si>
    <t>PONTOS DE HIDRAULICA</t>
  </si>
  <si>
    <t>Banco</t>
  </si>
  <si>
    <t>MUROS</t>
  </si>
  <si>
    <t>Ponto seco de tomada p/ lógica, com eletroduto pvc rígido embutido, Ø 3/4"</t>
  </si>
  <si>
    <t>KG</t>
  </si>
  <si>
    <t>PONTO DE ILUMINAÇÃO RESIDENCIAL INCLUINDO INTERRUPTOR SIMPLES, CAIXA ELÉTRICA, ELETRODUTO, CABO, RASGO, QUEBRA E CHUMBAMENTO (EXCLUINDO LUMINÁRIA E LÂMPADA). AF_01/2016</t>
  </si>
  <si>
    <t>LIMPEZA FINAL DA OBRA</t>
  </si>
  <si>
    <t>PONTO DE CONSUMO TERMINAL DE ÁGUA FRIA (SUBRAMAL) COM TUBULAÇÃO DE PVC, DN 25 MM, INSTALADO EM RAMAL DE ÁGUA, INCLUSOS RASGO E CHUMBAMENTO EM ALVENARIA. AF_12/2014</t>
  </si>
  <si>
    <t>8682</t>
  </si>
  <si>
    <t>9535</t>
  </si>
  <si>
    <t>88488</t>
  </si>
  <si>
    <t>9537</t>
  </si>
  <si>
    <t>88489</t>
  </si>
  <si>
    <t>EQUIPAMENTOS LÓGICA E TELEFONE</t>
  </si>
  <si>
    <t>REGISTRO GAVETA 1" BRUTO LATAO - FORNECIMENTO E INSTALACAO</t>
  </si>
  <si>
    <t>SOLEIRA DE MARMORE BRANCO, LARGURA 15CM, ESPESSURA 3CM, ASSENTADA SOBRE ARGAMASSA TRACO 1:4 (CIMENTO E AREIA)</t>
  </si>
  <si>
    <t>Ponto para cabeamento estruturado embutido, com eletroduto pvc rígido  Ø 3/4" c/cabo UTP 4 pares cat. 6</t>
  </si>
  <si>
    <t>8.1.1</t>
  </si>
  <si>
    <t>802</t>
  </si>
  <si>
    <t>8.1.2</t>
  </si>
  <si>
    <t>8.1.3</t>
  </si>
  <si>
    <t>8.1.4</t>
  </si>
  <si>
    <t>8.1.5</t>
  </si>
  <si>
    <t>95547</t>
  </si>
  <si>
    <t>8.1.6</t>
  </si>
  <si>
    <t>8.1.7</t>
  </si>
  <si>
    <t>8.1.8</t>
  </si>
  <si>
    <t>APLICAÇÃO MANUAL DE PINTURA COM TINTA TEXTURIZADA ACRÍLICA EM PAREDES EXTERNAS DE CASAS, DUAS CORES. AF_06/2014</t>
  </si>
  <si>
    <t>84216</t>
  </si>
  <si>
    <t>88496</t>
  </si>
  <si>
    <t>83367</t>
  </si>
  <si>
    <t>Ponto de esgoto com tubo de pvc rígido soldável de  Ø 50 mm (pias de cozinha, máquinas de lavar, etc...)</t>
  </si>
  <si>
    <t>9.3.1</t>
  </si>
  <si>
    <t>9.3.2</t>
  </si>
  <si>
    <t>9.3.3</t>
  </si>
  <si>
    <t>M3</t>
  </si>
  <si>
    <t>73974/001</t>
  </si>
  <si>
    <t>9.3.4</t>
  </si>
  <si>
    <t>CAIXA ENTERRADA PARA INSTALACOES TELEFONICAS TIPO R1 0,60X0,35X0,50M EM BLOCOS DE CONCRETO ESTRUTURAL</t>
  </si>
  <si>
    <t>5.2.1</t>
  </si>
  <si>
    <t>Esquadrias de Alumínio</t>
  </si>
  <si>
    <t>13.1</t>
  </si>
  <si>
    <t>13.2</t>
  </si>
  <si>
    <t>13.3</t>
  </si>
  <si>
    <t>13.4</t>
  </si>
  <si>
    <t>Pontos de Suprimento de Telefone</t>
  </si>
  <si>
    <t>Caixa d'agua fibra vidro  3.000 litros - Fortlev-Torres (ou similar)</t>
  </si>
  <si>
    <t>m²</t>
  </si>
  <si>
    <t>m³</t>
  </si>
  <si>
    <t>FREIO D´ÁGUA 100MM</t>
  </si>
  <si>
    <t>IMPERMEABILIZAÇÃO</t>
  </si>
  <si>
    <t>FUES - FUNDAÇÕES E ESTRUTURAS</t>
  </si>
  <si>
    <t>74200/001</t>
  </si>
  <si>
    <t>EMASSAMENTO COM MASSA A OLEO, DUAS DEMAOS</t>
  </si>
  <si>
    <t>Diversos</t>
  </si>
  <si>
    <t xml:space="preserve">SINAPI - 04/2018 - AL
ORSE - 02/2018 - SE
SEINFRA - 024 - CE
</t>
  </si>
  <si>
    <t>Und</t>
  </si>
  <si>
    <t>PINT - PINTURAS</t>
  </si>
  <si>
    <t>Cobertura em policarbonato alveolar de 8mm, fixado em peças de alumínio inclusive instalação</t>
  </si>
  <si>
    <t>pt</t>
  </si>
  <si>
    <t>7.1</t>
  </si>
  <si>
    <t>7.2</t>
  </si>
  <si>
    <t>74185/001</t>
  </si>
  <si>
    <t>7.3</t>
  </si>
  <si>
    <t>7.4</t>
  </si>
  <si>
    <t>INSTALAÇÕES PROVISÓRIAS DE ESGOTO</t>
  </si>
  <si>
    <t>LAJE PRE-MOLDADA P/FORRO, SOBRECARGA 100KG/M2, VAOS ATE 3,50M/E=8CM, C/LAJOTAS E CAP.C/CONC FCK=20MPA, 3CM, INTER-EIXO 38CM, C/ESCORAMENTO (REAPR.3X) E FERRAGEM NEGATIVA</t>
  </si>
  <si>
    <t>Regulador de baixa pressão, d=15mm, tipo Fisher, classe 300, 2º estágio (instalação gás)</t>
  </si>
  <si>
    <t>Louças e Metais Sanitários</t>
  </si>
  <si>
    <t>INSTALAÇÕES PROVISÓRIAS DE ÁGUA</t>
  </si>
  <si>
    <t>FUNDAÇÃO</t>
  </si>
  <si>
    <t>74104/001</t>
  </si>
  <si>
    <t>EXECUÇÃO DE SANITÁRIO E VESTIÁRIO EM CANTEIRO DE OBRA EM CHAPA DE MADEIRA COMPENSADA, NÃO INCLUSO MOBILIÁRIO. AF_02/2016</t>
  </si>
  <si>
    <t>DISJUNTOR TERMOMAGNETICO TRIPOLAR PADRAO NEMA (AMERICANO) 125 A 150A 240V, FORNECIMENTO E INSTALACAO</t>
  </si>
  <si>
    <t>ARMACAO ACO CA-50, DIAM. 6,3 (1/4) À 12,5MM(1/2) -FORNECIMENTO/ CORTE(PERDA DE 10%) / DOBRA / COLOCAÇÃO.</t>
  </si>
  <si>
    <t>Bancada em aço inox - 304, L=60cm, para cubas simples, concretada, acabamento liso e polido, assentada com argamassa traço T-1(1:3), exclusive cuba, sifão, válvula e torneira</t>
  </si>
  <si>
    <t>SEDI - SERVIÇOS DIVERSOS</t>
  </si>
  <si>
    <t>83399</t>
  </si>
  <si>
    <t>74130/001</t>
  </si>
  <si>
    <t>VALVULA DESCARGA 1.1/2" COM REGISTRO, ACABAMENTO EM METAL CROMADO - FORNECIMENTO E INSTALACAO</t>
  </si>
  <si>
    <t>74130/002</t>
  </si>
  <si>
    <t>74130/003</t>
  </si>
  <si>
    <t>10100</t>
  </si>
  <si>
    <t>74130/005</t>
  </si>
  <si>
    <t>74130/006</t>
  </si>
  <si>
    <t>COBERTURA EM TELHA CERAMICA TIPO FRANCESA OU MARSELHA, EXCLUINDO MADEIRAMENTO</t>
  </si>
  <si>
    <t>CAIXA SIFONADA PVC 150X150X50MM COM GRELHA REDONDA BRANCA -
FORNECIMENTO E INSTALACAO</t>
  </si>
  <si>
    <t>TRANSPORTE DE ENTULHO COM CAMINHAO BASCULANTE 6 M3, RODOVIA PAVIMENTADA, DMT 0,5 A 1,0 KM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</si>
  <si>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</si>
  <si>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73749/001</t>
  </si>
  <si>
    <t>CONCRETO USINADO BOMBEADO FCK=25MPA, INCLUSIVE LANCAMENTO E ADENSAMENTO</t>
  </si>
  <si>
    <t>8583</t>
  </si>
  <si>
    <t>EXECUÇÃO DE PÁTIO/ESTACIONAMENTO EM PISO INTERTRAVADO, COM BLOCO RETANGULAR COR NATURAL DE 20 X 10 CM, ESPESSURA 8 CM. AF_12/2015</t>
  </si>
  <si>
    <t>TETO</t>
  </si>
  <si>
    <t>SINAPI</t>
  </si>
  <si>
    <t>86914</t>
  </si>
  <si>
    <t>97585</t>
  </si>
  <si>
    <t>97586</t>
  </si>
  <si>
    <t>86919</t>
  </si>
  <si>
    <t>TORNEIRA DE BOIA VAZAO TOTAL 3/4 COM BALAO PLASTICO - FORNECIMENTO E INSTALACAO</t>
  </si>
  <si>
    <t>72881</t>
  </si>
  <si>
    <t>Bebedouro elétrico de pressão 40 litros inox, 220v, Masterfrio ou similar</t>
  </si>
  <si>
    <t>91314</t>
  </si>
  <si>
    <t>91315</t>
  </si>
  <si>
    <t>VÁLVULA DE ESFERA EM BRONZE Ø 1/2" - FORNECIMENTO E INSTALAÇÃO</t>
  </si>
  <si>
    <t>PARE - PAREDES/PAINEIS</t>
  </si>
  <si>
    <t>74071/001</t>
  </si>
  <si>
    <t>Descrição</t>
  </si>
  <si>
    <t>87250</t>
  </si>
  <si>
    <t>74012/001</t>
  </si>
  <si>
    <t>9.2.1</t>
  </si>
  <si>
    <t>9.2.2</t>
  </si>
  <si>
    <t>9.2.3</t>
  </si>
  <si>
    <t>10.5.1</t>
  </si>
  <si>
    <t>9.2.4</t>
  </si>
  <si>
    <t>10.5.2</t>
  </si>
  <si>
    <t>9.2.5</t>
  </si>
  <si>
    <t>10.5.3</t>
  </si>
  <si>
    <t>9.2.6</t>
  </si>
  <si>
    <t>9.2.7</t>
  </si>
  <si>
    <t>Porta em madeira compensada (canela), lisa, semi-ôca, 1,20x2,10m, duas folhas, com visor 40x50cm, inclusive batentes e ferragem, exclusive vidros</t>
  </si>
  <si>
    <t>9.2.8</t>
  </si>
  <si>
    <t>9.2.9</t>
  </si>
  <si>
    <t>12.1</t>
  </si>
  <si>
    <t>MOBILIZAÇÃO - CANTEIRO DE OBRAS - DEMOLIÇÕES</t>
  </si>
  <si>
    <t>12.2</t>
  </si>
  <si>
    <t>12.3</t>
  </si>
  <si>
    <t>12.4</t>
  </si>
  <si>
    <t>97599</t>
  </si>
  <si>
    <t>VERGA 10X10CM EM CONCRETO PRÉ-MOLDADO FCK=20MPA (PREPARO COM BETONEIRA) AÇO CA60, BITOLA FINA, INCLUSIVE FORMAS TABUA 3A.</t>
  </si>
  <si>
    <t>72898</t>
  </si>
  <si>
    <t>92320</t>
  </si>
  <si>
    <t>4324</t>
  </si>
  <si>
    <t>MOVT - MOVIMENTO DE TERRA</t>
  </si>
  <si>
    <t>CUMEEIRA COM TELHA CERAMICA EMBOCADA COM ARGAMASSA TRACO 1:2:8 (CIMENTO, CAL E AREIA)</t>
  </si>
  <si>
    <t>73960/001</t>
  </si>
  <si>
    <t>6.1</t>
  </si>
  <si>
    <t>6.2</t>
  </si>
  <si>
    <t>6.3</t>
  </si>
  <si>
    <t>72618</t>
  </si>
  <si>
    <t>TUBO PVC ESGOTO PREDIAL DN 75MM, INCLUSIVE CONEXOES - FORNECIMENTO
E INSTALACAO</t>
  </si>
  <si>
    <t>un</t>
  </si>
  <si>
    <t>92335</t>
  </si>
  <si>
    <t>11948</t>
  </si>
  <si>
    <t>11137</t>
  </si>
  <si>
    <t>ALUMINIO</t>
  </si>
  <si>
    <t>86942</t>
  </si>
  <si>
    <t>Soleiras e Rodapés</t>
  </si>
  <si>
    <t>74156/003</t>
  </si>
  <si>
    <t>COBE - COBERTURA</t>
  </si>
  <si>
    <t>QPDG</t>
  </si>
  <si>
    <t>QUADROS</t>
  </si>
  <si>
    <t>10</t>
  </si>
  <si>
    <t>APLICAÇÃO E LIXAMENTO DE MASSA LÁTEX EM TETO, DUAS DEMÃOS. AF_06/2014</t>
  </si>
  <si>
    <t>11</t>
  </si>
  <si>
    <t>COMUNICAÇÃO VISUAL</t>
  </si>
  <si>
    <t>12</t>
  </si>
  <si>
    <t>13</t>
  </si>
  <si>
    <t>Código</t>
  </si>
  <si>
    <t>40729</t>
  </si>
  <si>
    <t>Tubo aço galvanizado d=3" p/bicicletário, dimensão: h=75cm, L=75cm, fixado em base de concreto, pintado c/esmalte sintetico, exceto base de concreto e pintura de acabamento</t>
  </si>
  <si>
    <t>PONTO DE ILUMINAÇÃO RESIDENCIAL INCLUINDO INTERRUPTOR SIMPLES (2 MÓDULOS), CAIXA ELÉTRICA, ELETRODUTO, CABO, RASGO, QUEBRA E CHUMBAMENTO (EXCLUINDO LUMINÁRIA E LÂMPADA). AF_01/2016</t>
  </si>
  <si>
    <t>Bancada em aço inox - 304, dimensões 2,40 x 0,60m c/ 02 cubas 50x40x25cm, rodopia 10cm, concretada, inclusive válvula, sifão cromados, exclusive torneira</t>
  </si>
  <si>
    <t>FECHADURA DE EMBUTIR COMPLETA, PARA PORTAS INTERNAS, PADRAO DE
ACABAMENTO POPULAR</t>
  </si>
  <si>
    <t>85005</t>
  </si>
  <si>
    <t>89800</t>
  </si>
  <si>
    <t xml:space="preserve">28,65%
</t>
  </si>
  <si>
    <t>10.1.10</t>
  </si>
  <si>
    <t>10.1.11</t>
  </si>
  <si>
    <t>10.1.12</t>
  </si>
  <si>
    <t>SERT - SERVIÇOS TÉCNICOS</t>
  </si>
  <si>
    <t>10.1.13</t>
  </si>
  <si>
    <t>10.1.14</t>
  </si>
  <si>
    <t>10.1.15</t>
  </si>
  <si>
    <t>CANT - CANTEIRO DE OBRAS</t>
  </si>
  <si>
    <t>10.1.16</t>
  </si>
  <si>
    <t>10.1.17</t>
  </si>
  <si>
    <t>10.1.18</t>
  </si>
  <si>
    <t>VIDRO</t>
  </si>
  <si>
    <t>10.2.10</t>
  </si>
  <si>
    <t>89957</t>
  </si>
  <si>
    <t>UN</t>
  </si>
  <si>
    <t>Entrada em Baixa Tensão</t>
  </si>
  <si>
    <t>TAMPAO FOFO P/ CAIXA R1 PADRAO TELEBRAS COMPLETO - FORNECIMENTO E INSTALACAO</t>
  </si>
  <si>
    <t>JANELA DE ALUMINIO TIPO MAXIM AR, INCLUSO GUARNICOES E VIDRO FANTASIA</t>
  </si>
  <si>
    <t>DIVERSOS E LIMPEZA DA OBRA</t>
  </si>
  <si>
    <t>84161</t>
  </si>
  <si>
    <t>9.1.1</t>
  </si>
  <si>
    <t>93212</t>
  </si>
  <si>
    <t>VIDRO LISO COMUM TRANSPARENTE, ESPESSURA 3MM</t>
  </si>
  <si>
    <t>Torneira de parede, cromada, fechamento automático, Biopress, ref. 1182-BIO, da Fabrimar ou similar</t>
  </si>
  <si>
    <t>10.4.1</t>
  </si>
  <si>
    <t>10.4.2</t>
  </si>
  <si>
    <t>10.4.3</t>
  </si>
  <si>
    <t>10.4.4</t>
  </si>
  <si>
    <t>11.1</t>
  </si>
  <si>
    <t>Fusíveis, Disjuntores e Chaves</t>
  </si>
  <si>
    <t>11.2</t>
  </si>
  <si>
    <t>11.3</t>
  </si>
  <si>
    <t>11.4</t>
  </si>
  <si>
    <t>Quadros de Distribuição de Telefone</t>
  </si>
  <si>
    <t>REGISTRO GAVETA 1.1/4" BRUTO LATAO - FORNECIMENTO E INSTALACAO</t>
  </si>
  <si>
    <t>73938/003</t>
  </si>
  <si>
    <t>TRANSPORTE LOCAL COM CAMINHAO BASCULANTE 6 M3, RODOVIA PAVIMENTADA ( PARA DISTANCIAS SUPERIORES A 4 KM )</t>
  </si>
  <si>
    <t>Un</t>
  </si>
  <si>
    <t>Tipo</t>
  </si>
  <si>
    <t>Porta ou janela em alumínio, cor N/P/B,tipo veneziana, de abrir ou correr, completa inclusive caixilhos, dobradiças ou roldanas e fechadura</t>
  </si>
  <si>
    <t>9.2.10</t>
  </si>
  <si>
    <t>9.2.11</t>
  </si>
  <si>
    <t>9.2.12</t>
  </si>
  <si>
    <t>9.2.13</t>
  </si>
  <si>
    <t>REGISTRO DE PRESSÃO BRUTO, LATÃO, ROSCÁVEL, 1/2", COM ACABAMENTO E CANOPLA CROMADOS. FORNECIDO E INSTALADO EM RAMAL DE ÁGUA. AF_12/2014</t>
  </si>
  <si>
    <t>Total</t>
  </si>
  <si>
    <t>9215</t>
  </si>
  <si>
    <t>IMPE - IMPERMEABILIZAÇÕES E PROTEÇÕES DIVERSAS</t>
  </si>
  <si>
    <t>74223/001</t>
  </si>
  <si>
    <t>8365</t>
  </si>
  <si>
    <t>PARA RAIO - Dispositivo de proteção contra surto de tensão DPS 40kA - 175v</t>
  </si>
  <si>
    <t>73942/002</t>
  </si>
  <si>
    <t>DISJUNTOR TERMOMAGNETICO BIPOLAR PADRAO NEMA (AMERICANO) 10 A 50A 240V, FORNECIMENTO E INSTALACAO</t>
  </si>
  <si>
    <t>12177</t>
  </si>
  <si>
    <t>5.1</t>
  </si>
  <si>
    <t>CAIXA D'AGUA FIBRA DE VIDRO PARA 5000 LITROS, COM TAMPA</t>
  </si>
  <si>
    <t>5.2</t>
  </si>
  <si>
    <t>89168</t>
  </si>
  <si>
    <t>7.4.1</t>
  </si>
  <si>
    <t>7.4.2</t>
  </si>
  <si>
    <t>73931/003</t>
  </si>
  <si>
    <t>7.4.3</t>
  </si>
  <si>
    <t>9.5.10</t>
  </si>
  <si>
    <t>PONTO DE TOMADA RESIDENCIAL INCLUINDO TOMADA (2 MÓDULOS) 10A/250V, CAIXA ELÉTRICA, ELETRODUTO, CABO, RASGO, QUEBRA E CHUMBAMENTO. AF_01/2016</t>
  </si>
  <si>
    <t>8375</t>
  </si>
  <si>
    <t>89170</t>
  </si>
  <si>
    <t>89984</t>
  </si>
  <si>
    <t>74138/003</t>
  </si>
  <si>
    <t>73809/001</t>
  </si>
  <si>
    <t>LUMINÁRIA TIPO CALHA, DE SOBREPOR, COM 2 LÂMPADAS TUBULARES DE 36 W - FORNECIMENTO E INSTALAÇÃO. AF_11/2017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</si>
  <si>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</si>
  <si>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METAIS, ACESSÓRIOS E EQUIPAMENTOS</t>
  </si>
  <si>
    <t>DISJUNTOR TERMOMAGNETICO MONOPOLAR PADRAO NEMA (AMERICANO) 10 A 30A 240V, FORNECIMENTO E INSTALACAO</t>
  </si>
  <si>
    <t>74164/004</t>
  </si>
  <si>
    <t>ORSE</t>
  </si>
  <si>
    <t>73672</t>
  </si>
  <si>
    <t>92398</t>
  </si>
  <si>
    <t>LASTRO DE BRITA</t>
  </si>
  <si>
    <t>40777</t>
  </si>
  <si>
    <t>PISO - PISOS</t>
  </si>
  <si>
    <t>74131/004</t>
  </si>
  <si>
    <t>Fornecimento e instalação de voice panel 24 portas cat 6</t>
  </si>
  <si>
    <t>10727</t>
  </si>
  <si>
    <t>C2849</t>
  </si>
  <si>
    <t>COBERTURA</t>
  </si>
  <si>
    <t>9247</t>
  </si>
  <si>
    <t>10.3.1</t>
  </si>
  <si>
    <t>TANQUE DE LOUÇA BRANCA COM COLUNA, 30L OU EQUIVALENTE, INCLUSO SIFÃO FLEXÍVEL EM PVC, VÁLVULA METÁLICA E TORNEIRA DE METAL CROMADO PADRÃO MÉDIO - FORNECIMENTO E INSTALAÇÃO. AF_12/2013</t>
  </si>
  <si>
    <t>10.3.2</t>
  </si>
  <si>
    <t>10.3.3</t>
  </si>
  <si>
    <t>10.3.4</t>
  </si>
  <si>
    <t>Ponto de telefone, com eletroduto de pvc rígido embutido  Ø 3/4", inclusive fio trançado 2 x 22</t>
  </si>
  <si>
    <t>10.3.5</t>
  </si>
  <si>
    <t>10.3.6</t>
  </si>
  <si>
    <t>REDE EXTERNA</t>
  </si>
  <si>
    <t>10.1</t>
  </si>
  <si>
    <t>10.3.7</t>
  </si>
  <si>
    <t>10.2</t>
  </si>
  <si>
    <t>10.3.8</t>
  </si>
  <si>
    <t>83737</t>
  </si>
  <si>
    <t>10.3</t>
  </si>
  <si>
    <t>10.4</t>
  </si>
  <si>
    <t>10.5</t>
  </si>
  <si>
    <t>CAIXA DE PASSAGEM PARA TELEFONE 80X80X15CM (SOBREPOR) FORNECIMENTO E INSTALACAO</t>
  </si>
  <si>
    <t>C2851</t>
  </si>
  <si>
    <t>Encargos Sociais</t>
  </si>
  <si>
    <t>2276</t>
  </si>
  <si>
    <t>Descrição do Orçamento</t>
  </si>
  <si>
    <t>DISJUNTOR TERMOMAGNETICO TRIPOLAR PADRAO NEMA (AMERICANO) 60 A 100A 240V, FORNECIMENTO E INSTALACAO</t>
  </si>
  <si>
    <t>Quant.</t>
  </si>
  <si>
    <t>87879</t>
  </si>
  <si>
    <t>CONE PARA EXPURGO EM AÇO INOX COM TAMPA E GRELHA - L=500MM X C=500MM, ALTURA ATÉ 300MM E SAÍDA D=100MM</t>
  </si>
  <si>
    <t>KIT DE PORTA DE MADEIRA PARA PINTURA, SEMI-OCA (LEVE OU MÉDIA), PADRÃO POPULAR, 80X210CM, ESPESSURA DE 3,5CM, ITENS INCLUSOS: DOBRADIÇAS, MONTAGEM E INSTALAÇÃO DO BATENTE, FECHADURA COM EXECUÇÃO DO FURO - FORNECIMENTO E INSTALAÇÃO. AF_08/2015</t>
  </si>
  <si>
    <t>93128</t>
  </si>
  <si>
    <t>8260</t>
  </si>
  <si>
    <t>83748</t>
  </si>
  <si>
    <t>CHAPISCO APLICADO EM ALVENARIA (SEM PRESENÇA DE VÃOS) E ESTRUTURAS DE CONCRETO DE FACHADA, COM ROLO PARA TEXTURA ACRÍLICA.  ARGAMASSA TRAÇO 1:4 E EMULSÃO POLIMÉRICA (ADESIVO) COM PREPARO EM BETONEIRA 400L. AF_06/2014</t>
  </si>
  <si>
    <t>Ponto de caixa seca p/ lógica, c/ eletroduto pvc rígido embutido Ø 3/4"</t>
  </si>
  <si>
    <t>4.1</t>
  </si>
  <si>
    <t>4.2</t>
  </si>
  <si>
    <t>7.3.1</t>
  </si>
  <si>
    <t>7.3.2</t>
  </si>
  <si>
    <t>3285</t>
  </si>
  <si>
    <t>7.3.3</t>
  </si>
  <si>
    <t>7.3.4</t>
  </si>
  <si>
    <t>90950</t>
  </si>
  <si>
    <t>7.3.5</t>
  </si>
  <si>
    <t>7.3.6</t>
  </si>
  <si>
    <t>87889</t>
  </si>
  <si>
    <t>Ponto de esgoto com tubo de pvc rígido soldável de Ø 100 mm (vaso sanitário)</t>
  </si>
  <si>
    <t>Valor Unit com BDI</t>
  </si>
  <si>
    <t>84088</t>
  </si>
  <si>
    <t>93137</t>
  </si>
  <si>
    <t>93138</t>
  </si>
  <si>
    <t>Placa de indicação de pavimentos em acrílico</t>
  </si>
  <si>
    <t>74220/001</t>
  </si>
  <si>
    <t>Bóia automática p/caixa d'agua - 15 amperes</t>
  </si>
  <si>
    <t>Item</t>
  </si>
  <si>
    <t>Conversão InfoWOrca</t>
  </si>
  <si>
    <t>7139</t>
  </si>
  <si>
    <t>93142</t>
  </si>
  <si>
    <t>93143</t>
  </si>
  <si>
    <t>CALHA EM CHAPA DE ACO GALVANIZADO NUMERO 24, DESENVOLVIMENTO DE 50CM</t>
  </si>
  <si>
    <t>TUBO DE AÇO GALVANIZADO COM COSTURA, CLASSE MÉDIA, CONEXÃO RANHURADA, DN 50 (2"), INSTALADO EM PRUMADAS - FORNECIMENTO E INSTALAÇÃO. AF_12/2015</t>
  </si>
  <si>
    <t>FUNDAÇÃO E ESTRUTURA</t>
  </si>
  <si>
    <t>Torneira de mesa com fechamento automático, linha Link, DECA, ref. 1172 C ou similar</t>
  </si>
  <si>
    <t>LUMINÁRIA ARANDELA TIPO TARTARUGA, COM GRADE, PARA 1 LÂMPADA DE 15 W - FORNECIMENTO E INSTALAÇÃO. AF_11/2017</t>
  </si>
  <si>
    <t>690</t>
  </si>
  <si>
    <t>IMPERMEABILIZACAO DE SUPERFICIE COM MANTA ASFALTICA (COM POLIMEROS TIPO APP), E=3 MM</t>
  </si>
  <si>
    <t>74183/001</t>
  </si>
  <si>
    <t>693</t>
  </si>
  <si>
    <t>CONTRAPISO ACÚSTICO EM ARGAMASSA TRAÇO 1:4 (CIMENTO E AREIA), PREPARO MECÂNICO COM BETONEIRA 400L, APLICADO EM ÁREAS SECAS MAIORES QUE 15M2, ESPESSURA 7CM. AF_10/2014</t>
  </si>
  <si>
    <t>SARJETA EM CONCRETO, PREPARO MANUAL, COM SEIXO ROLADO, ESPESSURA = 8CM, LARGURA  = 40CM.</t>
  </si>
  <si>
    <t>PINTURA ESMALTE ACETINADO PARA MADEIRA, DUAS DEMAOS, SOBRE FUNDO NIVELADOR BRANCO</t>
  </si>
  <si>
    <t>INEL - INSTALAÇÃO ELÉTRICA/ELETRIFICAÇÃO E ILUMINAÇÃO EXTERNA</t>
  </si>
  <si>
    <t>Vaso sanitário convencional, adaptado p/ deficiente físico, linha popular, ELIZABETH ou similar, c/caixa de descarga de sobrepor AKROS ou similar, assento plastico universal branco, conjunto de fixação, tubo de ligação e engate plástico</t>
  </si>
  <si>
    <t>3161</t>
  </si>
  <si>
    <t>DESMATAMENTO E LIMPEZA MECANIZADA DE TERRENO COM ARVORES ATE Ø 15CM, UTILIZANDO TRATOR DE ESTEIRAS</t>
  </si>
  <si>
    <t>ESTRUTURA</t>
  </si>
  <si>
    <t>REGISTRO GAVETA 3/4" BRUTO LATAO - FORNECIMENTO E INSTALACAO</t>
  </si>
  <si>
    <t>10.2.1</t>
  </si>
  <si>
    <t>10.2.2</t>
  </si>
  <si>
    <t>10.2.3</t>
  </si>
  <si>
    <t>10.2.4</t>
  </si>
  <si>
    <t>CHUVEIRO ELETRICO COMUM CORPO PLASTICO TIPO DUCHA, FORNECIMENTO E INSTALACAO</t>
  </si>
  <si>
    <t>10.2.5</t>
  </si>
  <si>
    <t>10.2.6</t>
  </si>
  <si>
    <t>10.2.7</t>
  </si>
  <si>
    <t>PISO</t>
  </si>
  <si>
    <t>10.2.8</t>
  </si>
  <si>
    <t>10.2.9</t>
  </si>
  <si>
    <t>FILTRO VOLUMÉTRICO MODELO VF1</t>
  </si>
  <si>
    <t>LOUÇAS E APARELHOS SANITARIOS</t>
  </si>
  <si>
    <t>73795/002</t>
  </si>
  <si>
    <t>74065/002</t>
  </si>
  <si>
    <t>B.D.I.</t>
  </si>
  <si>
    <t>REATERRO DE VALA COM MATERIAL GRANULAR REAPROVEITADO ADENSADO E VIBRADO</t>
  </si>
  <si>
    <t>TUBO EM COBRE RÍGIDO, DN 15 CLASSE E, SEM ISOLAMENTO, INSTALADO EM RAMAL E SUB-RAMAL - FORNECIMENTO E INSTALAÇÃO. AF_12/2015</t>
  </si>
  <si>
    <t>2034</t>
  </si>
  <si>
    <t>7167</t>
  </si>
  <si>
    <t>6021</t>
  </si>
  <si>
    <t>Tubos e Conexões de PVC Rígido Soldável para Esgoto</t>
  </si>
  <si>
    <t>VIDRO TEMPERADO INCOLOR, ESPESSURA 10MM, FORNECIMENTO E INSTALACAO, INCLUSIVE MASSA PARA VEDACAO</t>
  </si>
  <si>
    <t>MEIO-FIO (GUIA) DE CONCRETO PRE-MOLDADO, DIMENSÕES 12X15X30X100CM (FACE SUPERIORXFACE INFERIORXALTURAXCOMPRIMENTO),REJUNTADO C/ARGAMASSA 1:4 CIMENTO:AREIA, INCLUINDO ESCAVAÇÃO E REATERRO.</t>
  </si>
  <si>
    <t>74209/001</t>
  </si>
  <si>
    <t>3.1</t>
  </si>
  <si>
    <t>REAPROVEITAMENTO DE ÁGUAS PLUVIAIS</t>
  </si>
  <si>
    <t>3.2</t>
  </si>
  <si>
    <t>3.3</t>
  </si>
  <si>
    <t>3.4</t>
  </si>
  <si>
    <t>3.5</t>
  </si>
  <si>
    <t>7.2.1</t>
  </si>
  <si>
    <t>3.6</t>
  </si>
  <si>
    <t>7.2.2</t>
  </si>
  <si>
    <t>Papeleira de plástico, Akros ou similar</t>
  </si>
  <si>
    <t>7.2.3</t>
  </si>
  <si>
    <t>Ponto de interruptor 03 seções embutido, com eletroduto de pvc flexível sanfonado Ø 3/4"</t>
  </si>
  <si>
    <t>7.2.4</t>
  </si>
  <si>
    <t>7.2.5</t>
  </si>
  <si>
    <t>7.2.6</t>
  </si>
  <si>
    <t>CHAPISCO APLICADO EM ALVENARIAS E ESTRUTURAS DE CONCRETO INTERNAS, COM COLHER DE PEDREIRO.  ARGAMASSA TRAÇO 1:3 COM PREPARO EM BETONEIRA 400L. AF_06/2014</t>
  </si>
  <si>
    <t>7.2.7</t>
  </si>
  <si>
    <t>TORNEIRA CROMADA 1/2" OU 3/4" PARA TANQUE, PADRÃO MÉDIO - FORNECIMENTO E INSTALAÇÃO. AF_12/2013</t>
  </si>
  <si>
    <t>7.2.8</t>
  </si>
  <si>
    <t>RELE FOTOELETRICO P/ COMANDO DE ILUMINACAO EXTERNA 220V/1000W - FORNECIMENTO E INSTALACAO</t>
  </si>
  <si>
    <t>84798</t>
  </si>
  <si>
    <t>QUADRO DE DISTRIBUICAO DE ENERGIA DE EMBUTIR, EM CHAPA METALICA, PARA 18 DISJUNTORES TERMOMAGNETICOS MONOPOLARES, COM BARRAMENTO TRIFASICO E NEUTRO, FORNECIMENTO E INSTALACAO</t>
  </si>
  <si>
    <t>SERP - SERVIÇOS PRELIMINARES</t>
  </si>
  <si>
    <t>Entrada de energia elétrica trifásica demanda entre 19 e 26,6 kw</t>
  </si>
  <si>
    <t>Planilha Orçamentária Sintética</t>
  </si>
  <si>
    <t>INSTAL/LIGACAO PROVISORIA ELETRICA BAIXA TENSAO P/CANT OBRA           OBRA,M3-CHAVE 100A CARGA 3KWH,20CV EXCL FORN MEDIDOR</t>
  </si>
  <si>
    <t>Luminária com proteção em tela galvanizada, incl. lâmpada vapor metálico 400w e reator, tecnolux, ref: lm 260 v/5 (ou similar)</t>
  </si>
  <si>
    <t>VÁLVULA DE RETENÇÃO VERTICAL Ø 25MM (1") - FORNECIMENTO E INSTALAÇÃO</t>
  </si>
  <si>
    <t>Ponto de água fria embutido, c/material pvc rígido soldável Ø 40mm</t>
  </si>
  <si>
    <t>PONTO DE TOMADA RESIDENCIAL INCLUINDO TOMADA 20A/250V, CAIXA ELÉTRICA, ELETRODUTO, CABO, RASGO, QUEBRA E CHUMBAMENTO. AF_01/2016</t>
  </si>
  <si>
    <t>74202/001</t>
  </si>
  <si>
    <t>73965/010</t>
  </si>
  <si>
    <t>APLICAÇÃO MANUAL DE PINTURA COM TINTA LÁTEX ACRÍLICA EM PAREDES, DUAS DEMÃOS. AF_06/2014</t>
  </si>
  <si>
    <t>VASO SANITARIO SIFONADO LOUÇA BRANCA PADRAO POPULAR, COM CONJUNTO PARA FIXAÇAO PARA VASO SANITÁRIO COM PARAFUSO, ARRUELA E BUCHA - FORNECIMENTO E INSTALACAO</t>
  </si>
  <si>
    <t>7997</t>
  </si>
  <si>
    <t>2056</t>
  </si>
  <si>
    <t>TUBO PVC, SERIE NORMAL, ESGOTO PREDIAL, DN 100 MM, FORNECIDO E INSTALADO EM PRUMADA DE ESGOTO SANITÁRIO OU VENTILAÇÃO. AF_12/2014</t>
  </si>
  <si>
    <t>EXECUÇÃO DE PASSEIO (CALÇADA) EM CONCRETO (CIMENTO/AREIA/SEIXO ROLADO), PREPARO MECÂNICO, ESPESSURA 7CM, COM JUNTA DE DILATAÇÃO EM MADEIRA, INCLUSO LANÇAMENTO E ADENSAMENTO</t>
  </si>
  <si>
    <t>73910/005</t>
  </si>
  <si>
    <t>73910/007</t>
  </si>
  <si>
    <t>Fornecimento e instalação de rack de piso 19" x 12u x 450mm</t>
  </si>
  <si>
    <t>ESTACA A TRADO (BROCA) DIAMETRO = 20 CM, EM CONCRETO MOLDADO IN LOCO, 15 MPA, SEM ARMACAO.</t>
  </si>
  <si>
    <t>Bancos Utilizados</t>
  </si>
  <si>
    <t>PONTOS ELÉTRICOS</t>
  </si>
  <si>
    <t>74176/001</t>
  </si>
  <si>
    <t>MOVIMENTO DE TERRA</t>
  </si>
  <si>
    <t>9183</t>
  </si>
  <si>
    <t>Porta em madeira compensada (canela), lisa, semi-ôca, 1.00 x 2.10 m, inclusive batentes e ferragens</t>
  </si>
  <si>
    <t>74165/003</t>
  </si>
  <si>
    <t>74106/001</t>
  </si>
  <si>
    <t>APLICAÇÃO MANUAL DE PINTURA COM TINTA LÁTEX ACRÍLICA EM TETO, DUAS DEMÃOS. AF_06/2014</t>
  </si>
  <si>
    <t>ESQUADRIAS</t>
  </si>
  <si>
    <t>6058</t>
  </si>
  <si>
    <t>INSTALAÇÕES ELÉTRICAS</t>
  </si>
  <si>
    <t>10.1.1</t>
  </si>
  <si>
    <t>73803/001</t>
  </si>
  <si>
    <t>10.1.2</t>
  </si>
  <si>
    <t>10.1.3</t>
  </si>
  <si>
    <t>7867</t>
  </si>
  <si>
    <t>10.1.4</t>
  </si>
  <si>
    <t>10.1.5</t>
  </si>
  <si>
    <t>3730</t>
  </si>
  <si>
    <t>10.1.6</t>
  </si>
  <si>
    <t>10.1.7</t>
  </si>
  <si>
    <t>10.1.8</t>
  </si>
  <si>
    <t>10.1.9</t>
  </si>
  <si>
    <t>Material</t>
  </si>
  <si>
    <t>PORTA DE ABRIR, EM ALUMINIO, CHAPA CORRUGADA COM GUARNICAO</t>
  </si>
  <si>
    <t>462</t>
  </si>
  <si>
    <t>87527</t>
  </si>
  <si>
    <t>CARGA E DESCARGA MECANIZADAS DE ENTULHO EM CAMINHAO BASCULANTE 6 M3</t>
  </si>
  <si>
    <t>FORRO EM PLACAS PRE-MOLDADAS DE GESSO LISO, BISOTADO, 60X60CM COM ESPESSURA CENTRAL 1,2CM E NAS BORDAS 3,0CM, INCLUSO FIXACAO COM ARAME E ESTRUTURA DE MADEIRA</t>
  </si>
  <si>
    <t>RUFO EM CHAPA DE ACO GALVANIZADO NUMERO 24, DESENVOLVIMENTO DE 25CM</t>
  </si>
  <si>
    <t>74058/002</t>
  </si>
  <si>
    <t>72208</t>
  </si>
  <si>
    <t>ESQV - ESQUADRIAS/FERRAGENS/VIDROS</t>
  </si>
  <si>
    <t>Disjuntor tetrapolar DR 63 A  - Dispositivo residual diferencial, tipo AC, 30MA</t>
  </si>
  <si>
    <t>INES - INSTALAÇÕES ESPECIAIS</t>
  </si>
  <si>
    <t>ESCAVACAO MANUAL DE VALA EM  MATERIAL DE 1A CATEGORIA ATE 1,5M EXCLUINDO ESGOTAMENTO / ESCORAMENTO</t>
  </si>
  <si>
    <t>MADEIRA</t>
  </si>
  <si>
    <t>87531</t>
  </si>
  <si>
    <t>PADRÃO DE ENTRADA TRIFÁSICO 125A AÉREO</t>
  </si>
  <si>
    <t>73792/001</t>
  </si>
  <si>
    <t>2.1</t>
  </si>
  <si>
    <t>2.2</t>
  </si>
  <si>
    <t>2.3</t>
  </si>
  <si>
    <t>2.4</t>
  </si>
  <si>
    <t>Equipamento</t>
  </si>
  <si>
    <t>7.1.1</t>
  </si>
  <si>
    <t>7.1.2</t>
  </si>
  <si>
    <t>REVESTIMENTO CERÂMICO PARA PISO COM PLACAS TIPO ESMALTADA EXTRA DE DIMENSÕES 45X45 CM APLICADA EM AMBIENTES DE ÁREA ENTRE 5 M2 E 10 M2. AF_06/2014</t>
  </si>
  <si>
    <t>7.1.3</t>
  </si>
  <si>
    <t>7.1.4</t>
  </si>
  <si>
    <t>7.1.5</t>
  </si>
  <si>
    <t>7.1.6</t>
  </si>
  <si>
    <t>7.1.7</t>
  </si>
  <si>
    <t>7.1.8</t>
  </si>
  <si>
    <t>INSTALAÇÕES HIDRAULICAS</t>
  </si>
  <si>
    <t>7.1.9</t>
  </si>
  <si>
    <t>LUMINÁRIA TIPO CALHA, DE SOBREPOR, COM 2 LÂMPADAS TUBULARES DE 18 W - FORNECIMENTO E INSTALAÇÃO. AF_11/2017</t>
  </si>
  <si>
    <t>REVE - REVESTIMENTO E TRATAMENTO DE SUPERFÍCIES</t>
  </si>
  <si>
    <t>REDE AR COMPRIMIDO</t>
  </si>
  <si>
    <t>74254/002</t>
  </si>
  <si>
    <t>(COMPOSIÇÃO REPRESENTATIVA) DO SERVIÇO DE ALVENARIA DE VEDAÇÃO DE BLOCOS VAZADOS DE CERÂMICA DE 9X19X19CM (ESPESSURA 9CM), PARA EDIFICAÇÃO HABITACIONAL UNIFAMILIAR (CASA) E EDIFICAÇÃO PÚBLICA PADRÃO. AF_11/2014</t>
  </si>
  <si>
    <t>8.3.1</t>
  </si>
  <si>
    <t>8.3.2</t>
  </si>
  <si>
    <t>CAIXA DE INSPEÇÃO EM ALVENARIA DE TIJOLO MACIÇO 60X60X60CM, REVESTIDA INTERNAMENTO COM BARRA LISA (CIMENTO E AREIA, TRAÇO 1:4) E=2,0CM, COM TAMPA PRÉ-MOLDADA DE CONCRETO E FUNDO DE CONCRETO 15MPA TIPO C - ESCAVAÇÃO E CONFECÇÃO</t>
  </si>
  <si>
    <t>Equipamentos e Acessórios para Instalações de Gás de Cozinha</t>
  </si>
  <si>
    <t>8.3.3</t>
  </si>
  <si>
    <t>DISJUNTOR TERMOMAGNETICO MONOPOLAR PADRAO NEMA (AMERICANO) 35 A 50A 240V, FORNECIMENTO E INSTALACAO</t>
  </si>
  <si>
    <t>C3671</t>
  </si>
  <si>
    <t>4.2.1</t>
  </si>
  <si>
    <t>4.2.2</t>
  </si>
  <si>
    <t>(COMPOSIÇÃO REPRESENTATIVA) DO SERVIÇO DE REVESTIMENTO CERÂMICO PARA PAREDES INTERNAS, MEIA PAREDE, OU PAREDE INTEIRA, PLACAS GRÊS OU SEMI-GRÊS DE 20X20 CM, PARA EDIFICAÇÕES HABITACIONAIS UNIFAMILIAR (CASAS) E EDIFICAÇÕES PÚBLICAS PADRÃO. AF_11/2014</t>
  </si>
  <si>
    <t>4.2.3</t>
  </si>
  <si>
    <t>4.2.4</t>
  </si>
  <si>
    <t>INHI - INSTALAÇÕES HIDROS SANITÁRIAS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</si>
  <si>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</si>
  <si>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4.2.5</t>
  </si>
  <si>
    <t>4.2.6</t>
  </si>
  <si>
    <t>LASTRO COM MATERIAL GRANULAR, APLICADO EM PISOS OU RADIERS, ESPESSURA DE *10 CM*. AF_08/2017</t>
  </si>
  <si>
    <t>8894</t>
  </si>
  <si>
    <t>DROP - DRENAGEM/OBRAS DE CONTENÇÃO / POÇOS DE VISITA E CAIXAS</t>
  </si>
  <si>
    <t>9.5.1</t>
  </si>
  <si>
    <t>9.5.2</t>
  </si>
  <si>
    <t>M3XKM</t>
  </si>
  <si>
    <t>LUMINÁRIA DE EMERGÊNCIA - FORNECIMENTO E INSTALAÇÃO. AF_11/2017</t>
  </si>
  <si>
    <t>9.5.3</t>
  </si>
  <si>
    <t>9.5.4</t>
  </si>
  <si>
    <t>9.5.5</t>
  </si>
  <si>
    <t>9.5.6</t>
  </si>
  <si>
    <t>9.5.7</t>
  </si>
  <si>
    <t>9.5.8</t>
  </si>
  <si>
    <t>9.5.9</t>
  </si>
  <si>
    <t>95757</t>
  </si>
  <si>
    <t>ESPELHO CRISTAL, ESPESSURA 4MM, COM PARAFUSOS DE FIXACAO, SEM MOLDURA</t>
  </si>
  <si>
    <t>72900</t>
  </si>
  <si>
    <t>97608</t>
  </si>
  <si>
    <t>3629</t>
  </si>
  <si>
    <t>Porta toalha inox para papel toalha em rolo</t>
  </si>
  <si>
    <t>Assento plástico, universal, branco, para vaso sanitário, padrão popular</t>
  </si>
  <si>
    <t>7612</t>
  </si>
  <si>
    <t>LUVA DE ACO GALVANIZADO 3/4" - FORNECIMENTO E INSTALACAO</t>
  </si>
  <si>
    <t>PAVI - PAVIMENTAÇÃO</t>
  </si>
  <si>
    <t>Urbanização de Parques e Praças</t>
  </si>
  <si>
    <t>9757</t>
  </si>
  <si>
    <t>74184/001</t>
  </si>
  <si>
    <t>8614</t>
  </si>
  <si>
    <t>73892/001</t>
  </si>
  <si>
    <t>ESTRUTURA EM MADEIRA APARELHADA, PARA TELHA CERAMICA, APOIADA EM PAREDE</t>
  </si>
  <si>
    <t>9093</t>
  </si>
  <si>
    <t>REVESTIMENTO - PISOS, PAREDES E TETOS</t>
  </si>
  <si>
    <t>Banco de concreto s/ encosto de 1,50 x 0,45m</t>
  </si>
  <si>
    <t>PONTO DE ILUMINAÇÃO RESIDENCIAL INCLUINDO INTERRUPTOR PARALELO, CAIXA ELÉTRICA, ELETRODUTO, CABO, RASGO, QUEBRA E CHUMBAMENTO (EXCLUINDO LUMINÁRIA E LÂMPADA). AF_01/2016</t>
  </si>
  <si>
    <t>Valor Unit</t>
  </si>
  <si>
    <t>9.1</t>
  </si>
  <si>
    <t>85,62% - Desonerada</t>
  </si>
  <si>
    <t>ALTURA</t>
  </si>
  <si>
    <t>QUANT.</t>
  </si>
  <si>
    <t>LARGURA</t>
  </si>
  <si>
    <t>COMPRIMENTO</t>
  </si>
  <si>
    <t xml:space="preserve">PERÍMETRO </t>
  </si>
  <si>
    <t>VOLUME DOS BLOCOS</t>
  </si>
  <si>
    <t xml:space="preserve">40% DO VOLUME DE ESCAVAÇÃO </t>
  </si>
  <si>
    <t>MESMA ÁREA DA ESTRUTURA</t>
  </si>
  <si>
    <t xml:space="preserve">PLATIBANDA </t>
  </si>
  <si>
    <t>LAJE DO RESERVATÓRIO</t>
  </si>
  <si>
    <t>LAJE IMPERMEABILIZADA</t>
  </si>
  <si>
    <t>PASSEIO PÚBLICO, CALÇADA DE ACESSO, PASSEIO LATERAL, ÁREA COBERTA PARA ATIVIDADES.</t>
  </si>
  <si>
    <t>VIA DE ACESSO, VIA DE VEÍCULOS E ÁREA DE AMBULÂNCIA</t>
  </si>
  <si>
    <t xml:space="preserve">ESTACIONAMENTO DESCOBERTO </t>
  </si>
  <si>
    <t xml:space="preserve">COMPRIMENTO DO PASSEIO PÚBLICO  </t>
  </si>
  <si>
    <t xml:space="preserve">MESMA ÁREA DO PISO CIMENTADO </t>
  </si>
  <si>
    <t>MESMO PERÍMETRO DE ALVENARIA</t>
  </si>
  <si>
    <t>PORTA 0,80 M</t>
  </si>
  <si>
    <t>PORTA 0,90 M</t>
  </si>
  <si>
    <t>PORTA DE 1,10 M</t>
  </si>
  <si>
    <t xml:space="preserve">DOIS LADOS DA ALVENARIA </t>
  </si>
  <si>
    <t>MESMA ÁREA DE CHAPISCO</t>
  </si>
  <si>
    <t>PAREDE EXTERNA</t>
  </si>
  <si>
    <t>ÁREA TOTAL DE EMBOÇO MENOS CERÂMICA E TEXTURA EXTERNA</t>
  </si>
  <si>
    <t xml:space="preserve">IGUAL A ÁREA DE EMASSAMENTO </t>
  </si>
  <si>
    <t>IGUAL A ÁREA DE PISO</t>
  </si>
  <si>
    <t>ÁREA DE BEIRAL</t>
  </si>
  <si>
    <t>ÁREA EM BAIXO DO RESERVATÓRIO DE ÁGUA</t>
  </si>
  <si>
    <t>DETALHADO EM PROJETO</t>
  </si>
  <si>
    <t>PINTURA PARA AS 19 PORTAS</t>
  </si>
  <si>
    <t xml:space="preserve">DETALHAMENTO EM PROJETO </t>
  </si>
  <si>
    <t xml:space="preserve">UMA EM CADA LATERAL </t>
  </si>
  <si>
    <t xml:space="preserve">DETALHADO EM PROJETO BÁSICO DE ARQUITETURA PRANCHA 02/04 E PROJETO ELÉTRICO </t>
  </si>
  <si>
    <t>KG/M</t>
  </si>
  <si>
    <t xml:space="preserve">ALTURA </t>
  </si>
  <si>
    <t>KG/ BLOCO</t>
  </si>
  <si>
    <t>QUADRO DE VOLUME NO PROJETO ESTRUTURAL P02/08</t>
  </si>
  <si>
    <t>DETALHADO EM PROJETO ESTRUTURAL</t>
  </si>
  <si>
    <t>ÁREA PRINCIPAL</t>
  </si>
  <si>
    <t>ÁREA ADMINISTRATIVO</t>
  </si>
  <si>
    <t xml:space="preserve">DETALHADO EM PROJETO BÁSICO DE ARQUITETURA PRANCHA 02/04 </t>
  </si>
  <si>
    <t>ESTADO DE ALAGOAS
PREFEITURA MUNICIPAL DE LAGOA DA CANOA – ALAGOAS
Praça Ver. Benício Alves de Oliveira, s/n – Centro – CEP 57330-000 – CNPJ 12.207.551/0001-00</t>
  </si>
  <si>
    <t>OBSERVAÇÕES DE QUANTIDADES</t>
  </si>
  <si>
    <t xml:space="preserve">_______________________________________________________________
ENG. LUIZ ANDRÉ PORTELA DA SILVA FILHO CREA: 0211857840
</t>
  </si>
  <si>
    <t>Planilha Quantificada com observações de cálculos</t>
  </si>
  <si>
    <t>CONSTRUÇÃO DE UMA (UBS) UNIDADE BÁSICA DE SAÚDE TIPO I NO MUNICÍPIO DE LAGOA DA CANOA</t>
  </si>
  <si>
    <t>TOTAL</t>
  </si>
  <si>
    <t>Cronograma Físico-Financeiro</t>
  </si>
  <si>
    <t>Total Por Etapa</t>
  </si>
  <si>
    <t>30 DIAS</t>
  </si>
  <si>
    <t>60 DIAS</t>
  </si>
  <si>
    <t>90 DIAS</t>
  </si>
  <si>
    <t>120 DIAS</t>
  </si>
  <si>
    <t>Porcentagem Mensal</t>
  </si>
  <si>
    <t>Custo Mensal</t>
  </si>
  <si>
    <t>Porcentagem Acumulada</t>
  </si>
  <si>
    <t>Custo Acumulado</t>
  </si>
  <si>
    <t>Total Geral</t>
  </si>
  <si>
    <t xml:space="preserve">_______________________________________________________________
JOSE RINALDO DE MORAIS JUNIOR
</t>
  </si>
  <si>
    <t>180 DIAS</t>
  </si>
  <si>
    <t>150 DIAS</t>
  </si>
  <si>
    <t>ENG. LUIZ ANDRÉ PORTELA DA SILVA FILHO CREA: 0211857840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</si>
</sst>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* #,##0.00_-;\-&quot;R$&quot;* #,##0.00_-;_-&quot;R$&quot;* &quot;-&quot;??_-;_-@_-"/>
    <numFmt numFmtId="164" formatCode="#,##0.00#####"/>
    <numFmt numFmtId="165" formatCode="\R\$\ #,##0.00"/>
  </numFmts>
  <fonts count="9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39997558519241921"/>
        <bgColor rgb="FF000000"/>
      </patternFill>
    </fill>
  </fills>
  <borders count="40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CCCCCC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/>
      <top style="thin">
        <color rgb="FFCCCCCC"/>
      </top>
      <bottom style="thin">
        <color indexed="64"/>
      </bottom>
      <diagonal/>
    </border>
    <border>
      <left/>
      <right/>
      <top style="thin">
        <color rgb="FFCCCCCC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05">
    <xf numFmtId="0" fontId="0" fillId="0" borderId="0" xfId="0"/>
    <xf numFmtId="164" fontId="1" fillId="2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164" fontId="4" fillId="6" borderId="3" xfId="0" applyNumberFormat="1" applyFont="1" applyFill="1" applyBorder="1" applyAlignment="1">
      <alignment horizontal="right" vertical="top" wrapText="1"/>
    </xf>
    <xf numFmtId="4" fontId="4" fillId="7" borderId="4" xfId="0" applyNumberFormat="1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4" fillId="9" borderId="5" xfId="0" applyFont="1" applyFill="1" applyBorder="1" applyAlignment="1">
      <alignment horizontal="center" vertical="top" wrapText="1"/>
    </xf>
    <xf numFmtId="164" fontId="4" fillId="10" borderId="6" xfId="0" applyNumberFormat="1" applyFont="1" applyFill="1" applyBorder="1" applyAlignment="1">
      <alignment horizontal="right" vertical="top" wrapText="1"/>
    </xf>
    <xf numFmtId="0" fontId="4" fillId="11" borderId="7" xfId="0" applyFont="1" applyFill="1" applyBorder="1" applyAlignment="1">
      <alignment horizontal="center" vertical="top" wrapText="1"/>
    </xf>
    <xf numFmtId="0" fontId="1" fillId="12" borderId="8" xfId="0" applyFont="1" applyFill="1" applyBorder="1" applyAlignment="1">
      <alignment vertical="top" wrapText="1"/>
    </xf>
    <xf numFmtId="0" fontId="6" fillId="0" borderId="0" xfId="0" applyFont="1"/>
    <xf numFmtId="0" fontId="4" fillId="18" borderId="10" xfId="0" applyFont="1" applyFill="1" applyBorder="1" applyAlignment="1">
      <alignment vertical="top" wrapText="1"/>
    </xf>
    <xf numFmtId="0" fontId="4" fillId="19" borderId="11" xfId="0" applyFont="1" applyFill="1" applyBorder="1" applyAlignment="1">
      <alignment vertical="top" wrapText="1"/>
    </xf>
    <xf numFmtId="0" fontId="3" fillId="8" borderId="0" xfId="0" applyFont="1" applyFill="1" applyAlignment="1">
      <alignment horizontal="right" vertical="top" wrapText="1"/>
    </xf>
    <xf numFmtId="0" fontId="4" fillId="18" borderId="11" xfId="0" applyFont="1" applyFill="1" applyBorder="1" applyAlignment="1">
      <alignment vertical="top" wrapText="1"/>
    </xf>
    <xf numFmtId="0" fontId="4" fillId="9" borderId="11" xfId="0" applyFont="1" applyFill="1" applyBorder="1" applyAlignment="1">
      <alignment horizontal="center" vertical="top" wrapText="1"/>
    </xf>
    <xf numFmtId="164" fontId="4" fillId="6" borderId="11" xfId="0" applyNumberFormat="1" applyFont="1" applyFill="1" applyBorder="1" applyAlignment="1">
      <alignment horizontal="right" vertical="top" wrapText="1"/>
    </xf>
    <xf numFmtId="0" fontId="8" fillId="20" borderId="15" xfId="0" applyFont="1" applyFill="1" applyBorder="1" applyAlignment="1">
      <alignment horizontal="center" vertical="center"/>
    </xf>
    <xf numFmtId="0" fontId="8" fillId="20" borderId="0" xfId="0" applyFont="1" applyFill="1" applyBorder="1" applyAlignment="1">
      <alignment horizontal="center" vertical="center"/>
    </xf>
    <xf numFmtId="0" fontId="2" fillId="20" borderId="0" xfId="0" applyFont="1" applyFill="1" applyBorder="1" applyAlignment="1">
      <alignment vertical="center" wrapText="1"/>
    </xf>
    <xf numFmtId="0" fontId="2" fillId="20" borderId="17" xfId="0" applyFont="1" applyFill="1" applyBorder="1" applyAlignment="1">
      <alignment vertical="center" wrapText="1"/>
    </xf>
    <xf numFmtId="4" fontId="4" fillId="6" borderId="3" xfId="0" applyNumberFormat="1" applyFont="1" applyFill="1" applyBorder="1" applyAlignment="1">
      <alignment horizontal="right" vertical="top" wrapText="1"/>
    </xf>
    <xf numFmtId="4" fontId="4" fillId="6" borderId="11" xfId="0" applyNumberFormat="1" applyFont="1" applyFill="1" applyBorder="1" applyAlignment="1">
      <alignment horizontal="right" vertical="top" wrapText="1"/>
    </xf>
    <xf numFmtId="4" fontId="4" fillId="7" borderId="0" xfId="0" applyNumberFormat="1" applyFont="1" applyFill="1" applyBorder="1" applyAlignment="1">
      <alignment horizontal="right" vertical="top" wrapText="1"/>
    </xf>
    <xf numFmtId="4" fontId="1" fillId="3" borderId="0" xfId="0" applyNumberFormat="1" applyFont="1" applyFill="1" applyBorder="1" applyAlignment="1">
      <alignment horizontal="right" vertical="top" wrapText="1"/>
    </xf>
    <xf numFmtId="4" fontId="4" fillId="13" borderId="0" xfId="0" applyNumberFormat="1" applyFont="1" applyFill="1" applyBorder="1" applyAlignment="1">
      <alignment horizontal="right" vertical="top" wrapText="1"/>
    </xf>
    <xf numFmtId="0" fontId="8" fillId="20" borderId="20" xfId="0" applyFont="1" applyFill="1" applyBorder="1" applyAlignment="1">
      <alignment horizontal="center" vertical="center"/>
    </xf>
    <xf numFmtId="0" fontId="8" fillId="20" borderId="21" xfId="0" applyFont="1" applyFill="1" applyBorder="1" applyAlignment="1">
      <alignment horizontal="center" vertical="center"/>
    </xf>
    <xf numFmtId="0" fontId="8" fillId="20" borderId="22" xfId="0" applyFont="1" applyFill="1" applyBorder="1" applyAlignment="1">
      <alignment horizontal="center" vertical="center"/>
    </xf>
    <xf numFmtId="4" fontId="4" fillId="7" borderId="15" xfId="0" applyNumberFormat="1" applyFont="1" applyFill="1" applyBorder="1" applyAlignment="1">
      <alignment horizontal="right" vertical="top" wrapText="1"/>
    </xf>
    <xf numFmtId="4" fontId="4" fillId="7" borderId="17" xfId="0" applyNumberFormat="1" applyFont="1" applyFill="1" applyBorder="1" applyAlignment="1">
      <alignment horizontal="right" vertical="top" wrapText="1"/>
    </xf>
    <xf numFmtId="4" fontId="4" fillId="7" borderId="18" xfId="0" applyNumberFormat="1" applyFont="1" applyFill="1" applyBorder="1" applyAlignment="1">
      <alignment horizontal="right" vertical="top" wrapText="1"/>
    </xf>
    <xf numFmtId="4" fontId="4" fillId="7" borderId="19" xfId="0" applyNumberFormat="1" applyFont="1" applyFill="1" applyBorder="1" applyAlignment="1">
      <alignment horizontal="right" vertical="top" wrapText="1"/>
    </xf>
    <xf numFmtId="4" fontId="4" fillId="7" borderId="23" xfId="0" applyNumberFormat="1" applyFont="1" applyFill="1" applyBorder="1" applyAlignment="1">
      <alignment horizontal="right" vertical="top" wrapText="1"/>
    </xf>
    <xf numFmtId="0" fontId="8" fillId="20" borderId="17" xfId="0" applyFont="1" applyFill="1" applyBorder="1" applyAlignment="1">
      <alignment horizontal="center" vertical="center"/>
    </xf>
    <xf numFmtId="4" fontId="1" fillId="3" borderId="20" xfId="0" applyNumberFormat="1" applyFont="1" applyFill="1" applyBorder="1" applyAlignment="1">
      <alignment horizontal="right" vertical="top" wrapText="1"/>
    </xf>
    <xf numFmtId="0" fontId="3" fillId="20" borderId="21" xfId="0" applyFont="1" applyFill="1" applyBorder="1" applyAlignment="1">
      <alignment horizontal="center" vertical="center" wrapText="1"/>
    </xf>
    <xf numFmtId="0" fontId="2" fillId="20" borderId="22" xfId="0" applyFont="1" applyFill="1" applyBorder="1" applyAlignment="1">
      <alignment horizontal="center" vertical="center" wrapText="1"/>
    </xf>
    <xf numFmtId="0" fontId="3" fillId="20" borderId="20" xfId="0" applyFont="1" applyFill="1" applyBorder="1" applyAlignment="1">
      <alignment horizontal="center" vertical="center" wrapText="1"/>
    </xf>
    <xf numFmtId="0" fontId="2" fillId="20" borderId="21" xfId="0" applyFont="1" applyFill="1" applyBorder="1" applyAlignment="1">
      <alignment horizontal="center" vertical="center" wrapText="1"/>
    </xf>
    <xf numFmtId="0" fontId="3" fillId="20" borderId="22" xfId="0" applyFont="1" applyFill="1" applyBorder="1" applyAlignment="1">
      <alignment horizontal="center" vertical="center" wrapText="1"/>
    </xf>
    <xf numFmtId="0" fontId="2" fillId="20" borderId="15" xfId="0" applyFont="1" applyFill="1" applyBorder="1" applyAlignment="1">
      <alignment vertical="center" wrapText="1"/>
    </xf>
    <xf numFmtId="0" fontId="2" fillId="22" borderId="11" xfId="0" applyFont="1" applyFill="1" applyBorder="1" applyAlignment="1">
      <alignment vertical="top" wrapText="1"/>
    </xf>
    <xf numFmtId="0" fontId="2" fillId="22" borderId="11" xfId="0" applyFont="1" applyFill="1" applyBorder="1" applyAlignment="1">
      <alignment horizontal="right" vertical="top" wrapText="1"/>
    </xf>
    <xf numFmtId="0" fontId="1" fillId="12" borderId="11" xfId="0" applyFont="1" applyFill="1" applyBorder="1" applyAlignment="1">
      <alignment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4" fontId="1" fillId="3" borderId="21" xfId="0" applyNumberFormat="1" applyFont="1" applyFill="1" applyBorder="1" applyAlignment="1">
      <alignment horizontal="right" vertical="top" wrapText="1"/>
    </xf>
    <xf numFmtId="4" fontId="1" fillId="3" borderId="22" xfId="0" applyNumberFormat="1" applyFont="1" applyFill="1" applyBorder="1" applyAlignment="1">
      <alignment horizontal="right" vertical="top" wrapText="1"/>
    </xf>
    <xf numFmtId="4" fontId="4" fillId="13" borderId="15" xfId="0" applyNumberFormat="1" applyFont="1" applyFill="1" applyBorder="1" applyAlignment="1">
      <alignment horizontal="right" vertical="top" wrapText="1"/>
    </xf>
    <xf numFmtId="4" fontId="4" fillId="13" borderId="17" xfId="0" applyNumberFormat="1" applyFont="1" applyFill="1" applyBorder="1" applyAlignment="1">
      <alignment horizontal="right" vertical="top" wrapText="1"/>
    </xf>
    <xf numFmtId="4" fontId="1" fillId="3" borderId="15" xfId="0" applyNumberFormat="1" applyFont="1" applyFill="1" applyBorder="1" applyAlignment="1">
      <alignment horizontal="right" vertical="top" wrapText="1"/>
    </xf>
    <xf numFmtId="4" fontId="1" fillId="3" borderId="17" xfId="0" applyNumberFormat="1" applyFont="1" applyFill="1" applyBorder="1" applyAlignment="1">
      <alignment horizontal="right" vertical="top" wrapText="1"/>
    </xf>
    <xf numFmtId="0" fontId="5" fillId="15" borderId="0" xfId="0" applyFont="1" applyFill="1" applyBorder="1" applyAlignment="1">
      <alignment vertical="top" wrapText="1"/>
    </xf>
    <xf numFmtId="0" fontId="5" fillId="15" borderId="34" xfId="0" applyFont="1" applyFill="1" applyBorder="1" applyAlignment="1">
      <alignment vertical="top" wrapText="1"/>
    </xf>
    <xf numFmtId="0" fontId="5" fillId="15" borderId="31" xfId="0" applyFont="1" applyFill="1" applyBorder="1" applyAlignment="1">
      <alignment vertical="top" wrapText="1"/>
    </xf>
    <xf numFmtId="0" fontId="5" fillId="15" borderId="32" xfId="0" applyFont="1" applyFill="1" applyBorder="1" applyAlignment="1">
      <alignment vertical="top" wrapText="1"/>
    </xf>
    <xf numFmtId="0" fontId="1" fillId="21" borderId="8" xfId="0" applyFont="1" applyFill="1" applyBorder="1" applyAlignment="1">
      <alignment vertical="top" wrapText="1"/>
    </xf>
    <xf numFmtId="164" fontId="1" fillId="21" borderId="1" xfId="0" applyNumberFormat="1" applyFont="1" applyFill="1" applyBorder="1" applyAlignment="1">
      <alignment horizontal="right" vertical="top" wrapText="1"/>
    </xf>
    <xf numFmtId="4" fontId="1" fillId="21" borderId="2" xfId="0" applyNumberFormat="1" applyFont="1" applyFill="1" applyBorder="1" applyAlignment="1">
      <alignment horizontal="right" vertical="top" wrapText="1"/>
    </xf>
    <xf numFmtId="44" fontId="1" fillId="21" borderId="2" xfId="1" applyFont="1" applyFill="1" applyBorder="1" applyAlignment="1">
      <alignment horizontal="right" vertical="top" wrapText="1"/>
    </xf>
    <xf numFmtId="44" fontId="4" fillId="7" borderId="4" xfId="1" applyFont="1" applyFill="1" applyBorder="1" applyAlignment="1">
      <alignment horizontal="right" vertical="top" wrapText="1"/>
    </xf>
    <xf numFmtId="4" fontId="4" fillId="21" borderId="4" xfId="0" applyNumberFormat="1" applyFont="1" applyFill="1" applyBorder="1" applyAlignment="1">
      <alignment horizontal="right" vertical="top" wrapText="1"/>
    </xf>
    <xf numFmtId="44" fontId="4" fillId="21" borderId="4" xfId="1" applyFont="1" applyFill="1" applyBorder="1" applyAlignment="1">
      <alignment horizontal="right" vertical="top" wrapText="1"/>
    </xf>
    <xf numFmtId="44" fontId="1" fillId="21" borderId="4" xfId="1" applyFont="1" applyFill="1" applyBorder="1" applyAlignment="1">
      <alignment horizontal="right" vertical="top" wrapText="1"/>
    </xf>
    <xf numFmtId="4" fontId="1" fillId="21" borderId="4" xfId="0" applyNumberFormat="1" applyFont="1" applyFill="1" applyBorder="1" applyAlignment="1">
      <alignment horizontal="right" vertical="top" wrapText="1"/>
    </xf>
    <xf numFmtId="44" fontId="4" fillId="13" borderId="9" xfId="1" applyFont="1" applyFill="1" applyBorder="1" applyAlignment="1">
      <alignment horizontal="right" vertical="top" wrapText="1"/>
    </xf>
    <xf numFmtId="2" fontId="4" fillId="6" borderId="3" xfId="0" applyNumberFormat="1" applyFont="1" applyFill="1" applyBorder="1" applyAlignment="1">
      <alignment horizontal="right" vertical="top" wrapText="1"/>
    </xf>
    <xf numFmtId="2" fontId="1" fillId="21" borderId="1" xfId="0" applyNumberFormat="1" applyFont="1" applyFill="1" applyBorder="1" applyAlignment="1">
      <alignment horizontal="right" vertical="top" wrapText="1"/>
    </xf>
    <xf numFmtId="2" fontId="4" fillId="10" borderId="6" xfId="0" applyNumberFormat="1" applyFont="1" applyFill="1" applyBorder="1" applyAlignment="1">
      <alignment horizontal="right" vertical="top" wrapText="1"/>
    </xf>
    <xf numFmtId="0" fontId="3" fillId="21" borderId="0" xfId="0" applyFont="1" applyFill="1" applyAlignment="1">
      <alignment horizontal="right" vertical="top" wrapText="1"/>
    </xf>
    <xf numFmtId="44" fontId="3" fillId="21" borderId="0" xfId="0" applyNumberFormat="1" applyFont="1" applyFill="1" applyAlignment="1">
      <alignment horizontal="right" vertical="top" wrapText="1"/>
    </xf>
    <xf numFmtId="0" fontId="1" fillId="12" borderId="20" xfId="0" applyFont="1" applyFill="1" applyBorder="1" applyAlignment="1">
      <alignment vertical="top" wrapText="1"/>
    </xf>
    <xf numFmtId="0" fontId="1" fillId="12" borderId="21" xfId="0" applyFont="1" applyFill="1" applyBorder="1" applyAlignment="1">
      <alignment vertical="top" wrapText="1"/>
    </xf>
    <xf numFmtId="4" fontId="1" fillId="12" borderId="21" xfId="0" applyNumberFormat="1" applyFont="1" applyFill="1" applyBorder="1" applyAlignment="1">
      <alignment horizontal="right" vertical="top" wrapText="1"/>
    </xf>
    <xf numFmtId="4" fontId="1" fillId="12" borderId="22" xfId="0" applyNumberFormat="1" applyFont="1" applyFill="1" applyBorder="1" applyAlignment="1">
      <alignment horizontal="right" vertical="top" wrapText="1"/>
    </xf>
    <xf numFmtId="0" fontId="1" fillId="12" borderId="18" xfId="0" applyFont="1" applyFill="1" applyBorder="1" applyAlignment="1">
      <alignment vertical="top" wrapText="1"/>
    </xf>
    <xf numFmtId="0" fontId="1" fillId="12" borderId="19" xfId="0" applyFont="1" applyFill="1" applyBorder="1" applyAlignment="1">
      <alignment vertical="top" wrapText="1"/>
    </xf>
    <xf numFmtId="10" fontId="1" fillId="12" borderId="19" xfId="2" applyNumberFormat="1" applyFont="1" applyFill="1" applyBorder="1" applyAlignment="1">
      <alignment horizontal="right" vertical="top" wrapText="1"/>
    </xf>
    <xf numFmtId="9" fontId="1" fillId="12" borderId="19" xfId="2" applyFont="1" applyFill="1" applyBorder="1" applyAlignment="1">
      <alignment horizontal="right" vertical="top" wrapText="1"/>
    </xf>
    <xf numFmtId="9" fontId="6" fillId="0" borderId="0" xfId="0" applyNumberFormat="1" applyFont="1"/>
    <xf numFmtId="10" fontId="3" fillId="23" borderId="36" xfId="2" applyNumberFormat="1" applyFont="1" applyFill="1" applyBorder="1" applyAlignment="1">
      <alignment horizontal="right" vertical="top" wrapText="1"/>
    </xf>
    <xf numFmtId="10" fontId="3" fillId="23" borderId="37" xfId="2" applyNumberFormat="1" applyFont="1" applyFill="1" applyBorder="1" applyAlignment="1">
      <alignment horizontal="right" vertical="top" wrapText="1"/>
    </xf>
    <xf numFmtId="44" fontId="3" fillId="23" borderId="19" xfId="1" applyFont="1" applyFill="1" applyBorder="1" applyAlignment="1">
      <alignment horizontal="right" vertical="top" wrapText="1"/>
    </xf>
    <xf numFmtId="44" fontId="3" fillId="23" borderId="23" xfId="1" applyFont="1" applyFill="1" applyBorder="1" applyAlignment="1">
      <alignment horizontal="right" vertical="top" wrapText="1"/>
    </xf>
    <xf numFmtId="10" fontId="3" fillId="23" borderId="21" xfId="0" applyNumberFormat="1" applyFont="1" applyFill="1" applyBorder="1" applyAlignment="1">
      <alignment horizontal="right" vertical="top" wrapText="1"/>
    </xf>
    <xf numFmtId="10" fontId="3" fillId="23" borderId="22" xfId="0" applyNumberFormat="1" applyFont="1" applyFill="1" applyBorder="1" applyAlignment="1">
      <alignment horizontal="right" vertical="top" wrapText="1"/>
    </xf>
    <xf numFmtId="44" fontId="3" fillId="23" borderId="19" xfId="0" applyNumberFormat="1" applyFont="1" applyFill="1" applyBorder="1" applyAlignment="1">
      <alignment horizontal="right" vertical="top" wrapText="1"/>
    </xf>
    <xf numFmtId="44" fontId="3" fillId="23" borderId="23" xfId="0" applyNumberFormat="1" applyFont="1" applyFill="1" applyBorder="1" applyAlignment="1">
      <alignment horizontal="right" vertical="top" wrapText="1"/>
    </xf>
    <xf numFmtId="0" fontId="3" fillId="23" borderId="12" xfId="0" applyFont="1" applyFill="1" applyBorder="1" applyAlignment="1">
      <alignment horizontal="right" vertical="top" wrapText="1"/>
    </xf>
    <xf numFmtId="0" fontId="3" fillId="23" borderId="13" xfId="0" applyFont="1" applyFill="1" applyBorder="1" applyAlignment="1">
      <alignment horizontal="right" vertical="top" wrapText="1"/>
    </xf>
    <xf numFmtId="0" fontId="2" fillId="17" borderId="0" xfId="0" applyFont="1" applyFill="1" applyBorder="1" applyAlignment="1">
      <alignment vertical="top" wrapText="1"/>
    </xf>
    <xf numFmtId="0" fontId="5" fillId="17" borderId="0" xfId="0" applyFont="1" applyFill="1" applyBorder="1" applyAlignment="1">
      <alignment vertical="top" wrapText="1"/>
    </xf>
    <xf numFmtId="9" fontId="1" fillId="12" borderId="23" xfId="2" applyFont="1" applyFill="1" applyBorder="1" applyAlignment="1">
      <alignment horizontal="right" vertical="top" wrapText="1"/>
    </xf>
    <xf numFmtId="0" fontId="3" fillId="17" borderId="15" xfId="0" applyFont="1" applyFill="1" applyBorder="1" applyAlignment="1">
      <alignment horizontal="right" vertical="top" wrapText="1"/>
    </xf>
    <xf numFmtId="0" fontId="3" fillId="17" borderId="0" xfId="0" applyFont="1" applyFill="1" applyBorder="1" applyAlignment="1">
      <alignment horizontal="right" vertical="top" wrapText="1"/>
    </xf>
    <xf numFmtId="0" fontId="3" fillId="17" borderId="17" xfId="0" applyFont="1" applyFill="1" applyBorder="1" applyAlignment="1">
      <alignment horizontal="right" vertical="top" wrapText="1"/>
    </xf>
    <xf numFmtId="0" fontId="0" fillId="0" borderId="18" xfId="0" applyBorder="1"/>
    <xf numFmtId="0" fontId="0" fillId="0" borderId="19" xfId="0" applyBorder="1"/>
    <xf numFmtId="0" fontId="0" fillId="0" borderId="23" xfId="0" applyBorder="1"/>
    <xf numFmtId="0" fontId="2" fillId="24" borderId="24" xfId="0" applyFont="1" applyFill="1" applyBorder="1" applyAlignment="1">
      <alignment vertical="top" wrapText="1"/>
    </xf>
    <xf numFmtId="0" fontId="2" fillId="24" borderId="25" xfId="0" applyFont="1" applyFill="1" applyBorder="1" applyAlignment="1">
      <alignment vertical="top" wrapText="1"/>
    </xf>
    <xf numFmtId="0" fontId="2" fillId="24" borderId="25" xfId="0" applyFont="1" applyFill="1" applyBorder="1" applyAlignment="1">
      <alignment horizontal="right" vertical="top" wrapText="1"/>
    </xf>
    <xf numFmtId="0" fontId="2" fillId="24" borderId="20" xfId="0" applyFont="1" applyFill="1" applyBorder="1" applyAlignment="1">
      <alignment vertical="top" wrapText="1"/>
    </xf>
    <xf numFmtId="0" fontId="2" fillId="24" borderId="21" xfId="0" applyFont="1" applyFill="1" applyBorder="1" applyAlignment="1">
      <alignment vertical="top" wrapText="1"/>
    </xf>
    <xf numFmtId="0" fontId="2" fillId="24" borderId="21" xfId="0" applyFont="1" applyFill="1" applyBorder="1" applyAlignment="1">
      <alignment horizontal="right" vertical="top" wrapText="1"/>
    </xf>
    <xf numFmtId="0" fontId="2" fillId="24" borderId="22" xfId="0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/>
    </xf>
    <xf numFmtId="0" fontId="2" fillId="5" borderId="33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5" fillId="15" borderId="30" xfId="0" applyFont="1" applyFill="1" applyBorder="1" applyAlignment="1">
      <alignment vertical="top" wrapText="1"/>
    </xf>
    <xf numFmtId="0" fontId="5" fillId="15" borderId="31" xfId="0" applyFont="1" applyFill="1" applyBorder="1" applyAlignment="1">
      <alignment vertical="top" wrapText="1"/>
    </xf>
    <xf numFmtId="0" fontId="2" fillId="5" borderId="28" xfId="0" applyFont="1" applyFill="1" applyBorder="1" applyAlignment="1">
      <alignment vertical="top" wrapText="1"/>
    </xf>
    <xf numFmtId="0" fontId="2" fillId="5" borderId="27" xfId="0" applyFont="1" applyFill="1" applyBorder="1" applyAlignment="1">
      <alignment vertical="top" wrapText="1"/>
    </xf>
    <xf numFmtId="0" fontId="2" fillId="5" borderId="29" xfId="0" applyFont="1" applyFill="1" applyBorder="1" applyAlignment="1">
      <alignment vertical="top" wrapText="1"/>
    </xf>
    <xf numFmtId="0" fontId="5" fillId="15" borderId="33" xfId="0" applyFont="1" applyFill="1" applyBorder="1" applyAlignment="1">
      <alignment horizontal="center" wrapText="1"/>
    </xf>
    <xf numFmtId="0" fontId="5" fillId="15" borderId="0" xfId="0" applyFont="1" applyFill="1" applyBorder="1" applyAlignment="1">
      <alignment horizontal="center" wrapText="1"/>
    </xf>
    <xf numFmtId="0" fontId="5" fillId="15" borderId="0" xfId="0" applyFont="1" applyFill="1" applyBorder="1" applyAlignment="1">
      <alignment vertical="top" wrapText="1"/>
    </xf>
    <xf numFmtId="9" fontId="5" fillId="15" borderId="0" xfId="2" applyFont="1" applyFill="1" applyBorder="1" applyAlignment="1">
      <alignment vertical="top" wrapText="1"/>
    </xf>
    <xf numFmtId="0" fontId="5" fillId="15" borderId="34" xfId="0" applyFont="1" applyFill="1" applyBorder="1" applyAlignment="1">
      <alignment vertical="top" wrapText="1"/>
    </xf>
    <xf numFmtId="0" fontId="3" fillId="8" borderId="0" xfId="0" applyFont="1" applyFill="1" applyAlignment="1">
      <alignment horizontal="right" vertical="top" wrapText="1"/>
    </xf>
    <xf numFmtId="165" fontId="3" fillId="4" borderId="0" xfId="0" applyNumberFormat="1" applyFont="1" applyFill="1" applyAlignment="1">
      <alignment horizontal="right" vertical="top" wrapText="1"/>
    </xf>
    <xf numFmtId="0" fontId="3" fillId="14" borderId="0" xfId="0" applyFont="1" applyFill="1" applyAlignment="1">
      <alignment horizontal="center" vertical="top" wrapText="1"/>
    </xf>
    <xf numFmtId="0" fontId="2" fillId="16" borderId="24" xfId="0" applyFont="1" applyFill="1" applyBorder="1" applyAlignment="1">
      <alignment horizontal="center" vertical="top" wrapText="1"/>
    </xf>
    <xf numFmtId="0" fontId="2" fillId="16" borderId="25" xfId="0" applyFont="1" applyFill="1" applyBorder="1" applyAlignment="1">
      <alignment horizontal="center" vertical="top" wrapText="1"/>
    </xf>
    <xf numFmtId="0" fontId="2" fillId="16" borderId="26" xfId="0" applyFont="1" applyFill="1" applyBorder="1" applyAlignment="1">
      <alignment horizontal="center" vertical="top" wrapText="1"/>
    </xf>
    <xf numFmtId="0" fontId="2" fillId="20" borderId="20" xfId="0" applyFont="1" applyFill="1" applyBorder="1" applyAlignment="1">
      <alignment horizontal="center" vertical="center" wrapText="1"/>
    </xf>
    <xf numFmtId="0" fontId="2" fillId="20" borderId="21" xfId="0" applyFont="1" applyFill="1" applyBorder="1" applyAlignment="1">
      <alignment horizontal="center" vertical="center" wrapText="1"/>
    </xf>
    <xf numFmtId="0" fontId="2" fillId="20" borderId="22" xfId="0" applyFont="1" applyFill="1" applyBorder="1" applyAlignment="1">
      <alignment horizontal="center" vertical="center" wrapText="1"/>
    </xf>
    <xf numFmtId="0" fontId="2" fillId="20" borderId="15" xfId="0" applyFont="1" applyFill="1" applyBorder="1" applyAlignment="1">
      <alignment horizontal="center" vertical="center" wrapText="1"/>
    </xf>
    <xf numFmtId="0" fontId="2" fillId="20" borderId="0" xfId="0" applyFont="1" applyFill="1" applyBorder="1" applyAlignment="1">
      <alignment horizontal="center" vertical="center" wrapText="1"/>
    </xf>
    <xf numFmtId="0" fontId="2" fillId="20" borderId="17" xfId="0" applyFont="1" applyFill="1" applyBorder="1" applyAlignment="1">
      <alignment horizontal="center" vertical="center" wrapText="1"/>
    </xf>
    <xf numFmtId="0" fontId="2" fillId="20" borderId="18" xfId="0" applyFont="1" applyFill="1" applyBorder="1" applyAlignment="1">
      <alignment horizontal="center" vertical="center" wrapText="1"/>
    </xf>
    <xf numFmtId="0" fontId="2" fillId="20" borderId="19" xfId="0" applyFont="1" applyFill="1" applyBorder="1" applyAlignment="1">
      <alignment horizontal="center" vertical="center" wrapText="1"/>
    </xf>
    <xf numFmtId="0" fontId="2" fillId="20" borderId="23" xfId="0" applyFont="1" applyFill="1" applyBorder="1" applyAlignment="1">
      <alignment horizontal="center" vertical="center" wrapText="1"/>
    </xf>
    <xf numFmtId="0" fontId="2" fillId="20" borderId="12" xfId="0" applyFont="1" applyFill="1" applyBorder="1" applyAlignment="1">
      <alignment horizontal="center" vertical="center" wrapText="1"/>
    </xf>
    <xf numFmtId="0" fontId="2" fillId="20" borderId="13" xfId="0" applyFont="1" applyFill="1" applyBorder="1" applyAlignment="1">
      <alignment horizontal="center" vertical="center" wrapText="1"/>
    </xf>
    <xf numFmtId="0" fontId="2" fillId="20" borderId="14" xfId="0" applyFont="1" applyFill="1" applyBorder="1" applyAlignment="1">
      <alignment horizontal="center" vertical="center" wrapText="1"/>
    </xf>
    <xf numFmtId="0" fontId="2" fillId="20" borderId="18" xfId="0" applyFont="1" applyFill="1" applyBorder="1" applyAlignment="1">
      <alignment horizontal="center" vertical="center"/>
    </xf>
    <xf numFmtId="0" fontId="2" fillId="20" borderId="19" xfId="0" applyFont="1" applyFill="1" applyBorder="1" applyAlignment="1">
      <alignment horizontal="center" vertical="center"/>
    </xf>
    <xf numFmtId="0" fontId="2" fillId="20" borderId="23" xfId="0" applyFont="1" applyFill="1" applyBorder="1" applyAlignment="1">
      <alignment horizontal="center" vertical="center"/>
    </xf>
    <xf numFmtId="0" fontId="8" fillId="20" borderId="20" xfId="0" applyFont="1" applyFill="1" applyBorder="1" applyAlignment="1">
      <alignment horizontal="center" vertical="center"/>
    </xf>
    <xf numFmtId="0" fontId="8" fillId="20" borderId="21" xfId="0" applyFont="1" applyFill="1" applyBorder="1" applyAlignment="1">
      <alignment horizontal="center" vertical="center"/>
    </xf>
    <xf numFmtId="0" fontId="8" fillId="20" borderId="22" xfId="0" applyFont="1" applyFill="1" applyBorder="1" applyAlignment="1">
      <alignment horizontal="center" vertical="center"/>
    </xf>
    <xf numFmtId="0" fontId="8" fillId="20" borderId="15" xfId="0" applyFont="1" applyFill="1" applyBorder="1" applyAlignment="1">
      <alignment horizontal="center" vertical="center"/>
    </xf>
    <xf numFmtId="0" fontId="8" fillId="20" borderId="0" xfId="0" applyFont="1" applyFill="1" applyBorder="1" applyAlignment="1">
      <alignment horizontal="center" vertical="center"/>
    </xf>
    <xf numFmtId="0" fontId="8" fillId="20" borderId="17" xfId="0" applyFont="1" applyFill="1" applyBorder="1" applyAlignment="1">
      <alignment horizontal="center" vertical="center"/>
    </xf>
    <xf numFmtId="0" fontId="8" fillId="20" borderId="18" xfId="0" applyFont="1" applyFill="1" applyBorder="1" applyAlignment="1">
      <alignment horizontal="center" vertical="center"/>
    </xf>
    <xf numFmtId="0" fontId="8" fillId="20" borderId="19" xfId="0" applyFont="1" applyFill="1" applyBorder="1" applyAlignment="1">
      <alignment horizontal="center" vertical="center"/>
    </xf>
    <xf numFmtId="0" fontId="8" fillId="20" borderId="23" xfId="0" applyFont="1" applyFill="1" applyBorder="1" applyAlignment="1">
      <alignment horizontal="center" vertical="center"/>
    </xf>
    <xf numFmtId="0" fontId="8" fillId="20" borderId="20" xfId="0" applyFont="1" applyFill="1" applyBorder="1" applyAlignment="1">
      <alignment horizontal="center" vertical="center" wrapText="1"/>
    </xf>
    <xf numFmtId="0" fontId="8" fillId="20" borderId="21" xfId="0" applyFont="1" applyFill="1" applyBorder="1" applyAlignment="1">
      <alignment horizontal="center" vertical="center" wrapText="1"/>
    </xf>
    <xf numFmtId="0" fontId="8" fillId="20" borderId="22" xfId="0" applyFont="1" applyFill="1" applyBorder="1" applyAlignment="1">
      <alignment horizontal="center" vertical="center" wrapText="1"/>
    </xf>
    <xf numFmtId="0" fontId="8" fillId="20" borderId="18" xfId="0" applyFont="1" applyFill="1" applyBorder="1" applyAlignment="1">
      <alignment horizontal="center" vertical="center" wrapText="1"/>
    </xf>
    <xf numFmtId="0" fontId="8" fillId="20" borderId="19" xfId="0" applyFont="1" applyFill="1" applyBorder="1" applyAlignment="1">
      <alignment horizontal="center" vertical="center" wrapText="1"/>
    </xf>
    <xf numFmtId="0" fontId="8" fillId="20" borderId="23" xfId="0" applyFont="1" applyFill="1" applyBorder="1" applyAlignment="1">
      <alignment horizontal="center" vertical="center" wrapText="1"/>
    </xf>
    <xf numFmtId="164" fontId="4" fillId="6" borderId="16" xfId="0" applyNumberFormat="1" applyFont="1" applyFill="1" applyBorder="1" applyAlignment="1">
      <alignment horizontal="right" vertical="center" wrapText="1"/>
    </xf>
    <xf numFmtId="164" fontId="4" fillId="6" borderId="11" xfId="0" applyNumberFormat="1" applyFont="1" applyFill="1" applyBorder="1" applyAlignment="1">
      <alignment horizontal="right" vertical="center" wrapText="1"/>
    </xf>
    <xf numFmtId="0" fontId="4" fillId="9" borderId="16" xfId="0" applyFont="1" applyFill="1" applyBorder="1" applyAlignment="1">
      <alignment horizontal="center" vertical="top" wrapText="1"/>
    </xf>
    <xf numFmtId="0" fontId="4" fillId="9" borderId="11" xfId="0" applyFont="1" applyFill="1" applyBorder="1" applyAlignment="1">
      <alignment horizontal="center" vertical="top" wrapText="1"/>
    </xf>
    <xf numFmtId="0" fontId="4" fillId="18" borderId="16" xfId="0" applyFont="1" applyFill="1" applyBorder="1" applyAlignment="1">
      <alignment horizontal="left" vertical="center" wrapText="1"/>
    </xf>
    <xf numFmtId="0" fontId="4" fillId="18" borderId="11" xfId="0" applyFont="1" applyFill="1" applyBorder="1" applyAlignment="1">
      <alignment horizontal="left" vertical="center" wrapText="1"/>
    </xf>
    <xf numFmtId="0" fontId="2" fillId="16" borderId="24" xfId="0" applyFont="1" applyFill="1" applyBorder="1" applyAlignment="1">
      <alignment horizontal="center" vertical="center" wrapText="1"/>
    </xf>
    <xf numFmtId="0" fontId="2" fillId="16" borderId="25" xfId="0" applyFont="1" applyFill="1" applyBorder="1" applyAlignment="1">
      <alignment horizontal="center" vertical="center" wrapText="1"/>
    </xf>
    <xf numFmtId="0" fontId="2" fillId="16" borderId="26" xfId="0" applyFont="1" applyFill="1" applyBorder="1" applyAlignment="1">
      <alignment horizontal="center" vertical="center" wrapText="1"/>
    </xf>
    <xf numFmtId="0" fontId="8" fillId="20" borderId="12" xfId="0" applyFont="1" applyFill="1" applyBorder="1" applyAlignment="1">
      <alignment horizontal="left" vertical="center" wrapText="1"/>
    </xf>
    <xf numFmtId="0" fontId="8" fillId="20" borderId="13" xfId="0" applyFont="1" applyFill="1" applyBorder="1" applyAlignment="1">
      <alignment horizontal="left" vertical="center" wrapText="1"/>
    </xf>
    <xf numFmtId="0" fontId="8" fillId="20" borderId="14" xfId="0" applyFont="1" applyFill="1" applyBorder="1" applyAlignment="1">
      <alignment horizontal="left" vertical="center" wrapText="1"/>
    </xf>
    <xf numFmtId="0" fontId="2" fillId="24" borderId="25" xfId="0" applyFont="1" applyFill="1" applyBorder="1" applyAlignment="1">
      <alignment horizontal="center" vertical="top" wrapText="1"/>
    </xf>
    <xf numFmtId="0" fontId="2" fillId="24" borderId="26" xfId="0" applyFont="1" applyFill="1" applyBorder="1" applyAlignment="1">
      <alignment horizontal="center" vertical="top" wrapText="1"/>
    </xf>
    <xf numFmtId="0" fontId="5" fillId="15" borderId="30" xfId="0" applyFont="1" applyFill="1" applyBorder="1" applyAlignment="1">
      <alignment horizontal="center" wrapText="1"/>
    </xf>
    <xf numFmtId="0" fontId="5" fillId="15" borderId="31" xfId="0" applyFont="1" applyFill="1" applyBorder="1" applyAlignment="1">
      <alignment horizontal="center" wrapText="1"/>
    </xf>
    <xf numFmtId="0" fontId="5" fillId="15" borderId="32" xfId="0" applyFont="1" applyFill="1" applyBorder="1" applyAlignment="1">
      <alignment vertical="top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17" borderId="12" xfId="0" applyFont="1" applyFill="1" applyBorder="1" applyAlignment="1">
      <alignment horizontal="center" vertical="top" wrapText="1"/>
    </xf>
    <xf numFmtId="0" fontId="2" fillId="17" borderId="13" xfId="0" applyFont="1" applyFill="1" applyBorder="1" applyAlignment="1">
      <alignment horizontal="center" vertical="top" wrapText="1"/>
    </xf>
    <xf numFmtId="0" fontId="2" fillId="17" borderId="14" xfId="0" applyFont="1" applyFill="1" applyBorder="1" applyAlignment="1">
      <alignment horizontal="center" vertical="top" wrapText="1"/>
    </xf>
    <xf numFmtId="0" fontId="3" fillId="23" borderId="35" xfId="0" applyFont="1" applyFill="1" applyBorder="1" applyAlignment="1">
      <alignment horizontal="right" vertical="top" wrapText="1"/>
    </xf>
    <xf numFmtId="0" fontId="3" fillId="23" borderId="36" xfId="0" applyFont="1" applyFill="1" applyBorder="1" applyAlignment="1">
      <alignment horizontal="right" vertical="top" wrapText="1"/>
    </xf>
    <xf numFmtId="0" fontId="3" fillId="23" borderId="38" xfId="0" applyFont="1" applyFill="1" applyBorder="1" applyAlignment="1">
      <alignment horizontal="right" vertical="top" wrapText="1"/>
    </xf>
    <xf numFmtId="0" fontId="3" fillId="23" borderId="39" xfId="0" applyFont="1" applyFill="1" applyBorder="1" applyAlignment="1">
      <alignment horizontal="right" vertical="top" wrapText="1"/>
    </xf>
    <xf numFmtId="0" fontId="3" fillId="23" borderId="20" xfId="0" applyFont="1" applyFill="1" applyBorder="1" applyAlignment="1">
      <alignment horizontal="right" vertical="top" wrapText="1"/>
    </xf>
    <xf numFmtId="0" fontId="3" fillId="23" borderId="21" xfId="0" applyFont="1" applyFill="1" applyBorder="1" applyAlignment="1">
      <alignment horizontal="right" vertical="top" wrapText="1"/>
    </xf>
    <xf numFmtId="0" fontId="2" fillId="17" borderId="15" xfId="0" applyFont="1" applyFill="1" applyBorder="1" applyAlignment="1">
      <alignment vertical="top" wrapText="1"/>
    </xf>
    <xf numFmtId="0" fontId="2" fillId="17" borderId="0" xfId="0" applyFont="1" applyFill="1" applyBorder="1" applyAlignment="1">
      <alignment vertical="top" wrapText="1"/>
    </xf>
    <xf numFmtId="0" fontId="2" fillId="17" borderId="17" xfId="0" applyFont="1" applyFill="1" applyBorder="1" applyAlignment="1">
      <alignment vertical="top" wrapText="1"/>
    </xf>
    <xf numFmtId="0" fontId="5" fillId="17" borderId="15" xfId="0" applyFont="1" applyFill="1" applyBorder="1" applyAlignment="1">
      <alignment vertical="top" wrapText="1"/>
    </xf>
    <xf numFmtId="0" fontId="5" fillId="17" borderId="0" xfId="0" applyFont="1" applyFill="1" applyBorder="1" applyAlignment="1">
      <alignment vertical="top" wrapText="1"/>
    </xf>
    <xf numFmtId="0" fontId="5" fillId="17" borderId="17" xfId="0" applyFont="1" applyFill="1" applyBorder="1" applyAlignment="1">
      <alignment vertical="top" wrapText="1"/>
    </xf>
    <xf numFmtId="0" fontId="0" fillId="0" borderId="20" xfId="0" applyBorder="1" applyAlignment="1">
      <alignment horizontal="center"/>
    </xf>
    <xf numFmtId="0" fontId="3" fillId="23" borderId="13" xfId="0" applyFont="1" applyFill="1" applyBorder="1" applyAlignment="1">
      <alignment horizontal="right" vertical="top" wrapText="1"/>
    </xf>
    <xf numFmtId="165" fontId="3" fillId="23" borderId="13" xfId="0" applyNumberFormat="1" applyFont="1" applyFill="1" applyBorder="1" applyAlignment="1">
      <alignment horizontal="right" vertical="top" wrapText="1"/>
    </xf>
    <xf numFmtId="165" fontId="3" fillId="23" borderId="14" xfId="0" applyNumberFormat="1" applyFont="1" applyFill="1" applyBorder="1" applyAlignment="1">
      <alignment horizontal="right" vertical="top" wrapText="1"/>
    </xf>
    <xf numFmtId="0" fontId="3" fillId="17" borderId="15" xfId="0" applyFont="1" applyFill="1" applyBorder="1" applyAlignment="1">
      <alignment horizontal="center" vertical="top" wrapText="1"/>
    </xf>
    <xf numFmtId="0" fontId="3" fillId="17" borderId="0" xfId="0" applyFont="1" applyFill="1" applyBorder="1" applyAlignment="1">
      <alignment horizontal="center" vertical="top" wrapText="1"/>
    </xf>
    <xf numFmtId="0" fontId="3" fillId="17" borderId="17" xfId="0" applyFont="1" applyFill="1" applyBorder="1" applyAlignment="1">
      <alignment horizontal="center" vertical="top" wrapText="1"/>
    </xf>
    <xf numFmtId="0" fontId="3" fillId="23" borderId="18" xfId="0" applyFont="1" applyFill="1" applyBorder="1" applyAlignment="1">
      <alignment horizontal="right" vertical="top" wrapText="1"/>
    </xf>
    <xf numFmtId="0" fontId="3" fillId="23" borderId="19" xfId="0" applyFont="1" applyFill="1" applyBorder="1" applyAlignment="1">
      <alignment horizontal="right" vertical="top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123825</xdr:rowOff>
    </xdr:from>
    <xdr:to>
      <xdr:col>3</xdr:col>
      <xdr:colOff>1400175</xdr:colOff>
      <xdr:row>1</xdr:row>
      <xdr:rowOff>972674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23825"/>
          <a:ext cx="942975" cy="1039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90734</xdr:rowOff>
    </xdr:from>
    <xdr:to>
      <xdr:col>3</xdr:col>
      <xdr:colOff>1381125</xdr:colOff>
      <xdr:row>1</xdr:row>
      <xdr:rowOff>939583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90734"/>
          <a:ext cx="942975" cy="10393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1114426</xdr:colOff>
      <xdr:row>0</xdr:row>
      <xdr:rowOff>19050</xdr:rowOff>
    </xdr:from>
    <xdr:to>
      <xdr:col>3</xdr:col>
      <xdr:colOff>152401</xdr:colOff>
      <xdr:row>5</xdr:row>
      <xdr:rowOff>11413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7676" y="19050"/>
          <a:ext cx="857250" cy="944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14"/>
  <sheetViews>
    <sheetView zoomScaleNormal="100" workbookViewId="0">
      <selection activeCell="A214" sqref="A1:J214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  <col min="7" max="9" width="13.7109375" customWidth="1"/>
    <col min="10" max="10" width="15.5703125" customWidth="1"/>
  </cols>
  <sheetData>
    <row r="1" spans="1:10" x14ac:dyDescent="0.25">
      <c r="A1" s="111"/>
      <c r="B1" s="112"/>
      <c r="C1" s="112"/>
      <c r="D1" s="112"/>
      <c r="E1" s="112" t="s">
        <v>497</v>
      </c>
      <c r="F1" s="112"/>
      <c r="G1" s="112" t="s">
        <v>445</v>
      </c>
      <c r="H1" s="112"/>
      <c r="I1" s="112" t="s">
        <v>375</v>
      </c>
      <c r="J1" s="113"/>
    </row>
    <row r="2" spans="1:10" ht="114.75" customHeight="1" x14ac:dyDescent="0.25">
      <c r="A2" s="114" t="s">
        <v>653</v>
      </c>
      <c r="B2" s="115"/>
      <c r="C2" s="115"/>
      <c r="D2" s="115"/>
      <c r="E2" s="116" t="s">
        <v>158</v>
      </c>
      <c r="F2" s="116"/>
      <c r="G2" s="117" t="s">
        <v>269</v>
      </c>
      <c r="H2" s="117"/>
      <c r="I2" s="116" t="s">
        <v>611</v>
      </c>
      <c r="J2" s="118"/>
    </row>
    <row r="3" spans="1:10" ht="24" customHeight="1" x14ac:dyDescent="0.25">
      <c r="A3" s="107" t="s">
        <v>377</v>
      </c>
      <c r="B3" s="108"/>
      <c r="C3" s="108"/>
      <c r="D3" s="108"/>
      <c r="E3" s="52"/>
      <c r="F3" s="52"/>
      <c r="G3" s="52"/>
      <c r="H3" s="52"/>
      <c r="I3" s="52"/>
      <c r="J3" s="53"/>
    </row>
    <row r="4" spans="1:10" ht="15.75" thickBot="1" x14ac:dyDescent="0.3">
      <c r="A4" s="109" t="s">
        <v>657</v>
      </c>
      <c r="B4" s="110"/>
      <c r="C4" s="110"/>
      <c r="D4" s="110"/>
      <c r="E4" s="54"/>
      <c r="F4" s="54"/>
      <c r="G4" s="54"/>
      <c r="H4" s="54"/>
      <c r="I4" s="54"/>
      <c r="J4" s="55"/>
    </row>
    <row r="5" spans="1:10" ht="15" customHeight="1" thickBot="1" x14ac:dyDescent="0.3">
      <c r="A5" s="122" t="s">
        <v>479</v>
      </c>
      <c r="B5" s="123"/>
      <c r="C5" s="123"/>
      <c r="D5" s="123"/>
      <c r="E5" s="123"/>
      <c r="F5" s="123"/>
      <c r="G5" s="123"/>
      <c r="H5" s="123"/>
      <c r="I5" s="123"/>
      <c r="J5" s="124"/>
    </row>
    <row r="6" spans="1:10" s="2" customFormat="1" ht="22.5" customHeight="1" x14ac:dyDescent="0.2">
      <c r="A6" s="42" t="s">
        <v>407</v>
      </c>
      <c r="B6" s="42" t="s">
        <v>261</v>
      </c>
      <c r="C6" s="42" t="s">
        <v>104</v>
      </c>
      <c r="D6" s="42" t="s">
        <v>210</v>
      </c>
      <c r="E6" s="42" t="s">
        <v>308</v>
      </c>
      <c r="F6" s="42" t="s">
        <v>159</v>
      </c>
      <c r="G6" s="43" t="s">
        <v>379</v>
      </c>
      <c r="H6" s="43" t="s">
        <v>609</v>
      </c>
      <c r="I6" s="43" t="s">
        <v>400</v>
      </c>
      <c r="J6" s="43" t="s">
        <v>315</v>
      </c>
    </row>
    <row r="7" spans="1:10" s="10" customFormat="1" ht="15" customHeight="1" x14ac:dyDescent="0.2">
      <c r="A7" s="56" t="s">
        <v>31</v>
      </c>
      <c r="B7" s="56"/>
      <c r="C7" s="56"/>
      <c r="D7" s="56" t="s">
        <v>227</v>
      </c>
      <c r="E7" s="56"/>
      <c r="F7" s="56"/>
      <c r="G7" s="57"/>
      <c r="H7" s="58"/>
      <c r="I7" s="58"/>
      <c r="J7" s="59">
        <f>SUM(J8:J16)</f>
        <v>45977.552365112497</v>
      </c>
    </row>
    <row r="8" spans="1:10" s="10" customFormat="1" ht="15" customHeight="1" x14ac:dyDescent="0.2">
      <c r="A8" s="11" t="s">
        <v>16</v>
      </c>
      <c r="B8" s="11" t="s">
        <v>454</v>
      </c>
      <c r="C8" s="11" t="s">
        <v>197</v>
      </c>
      <c r="D8" s="11" t="s">
        <v>47</v>
      </c>
      <c r="E8" s="11" t="s">
        <v>277</v>
      </c>
      <c r="F8" s="6" t="s">
        <v>150</v>
      </c>
      <c r="G8" s="66">
        <v>4.5</v>
      </c>
      <c r="H8" s="60">
        <v>317.39</v>
      </c>
      <c r="I8" s="60">
        <f>H8*1.2865</f>
        <v>408.32223499999998</v>
      </c>
      <c r="J8" s="60">
        <f>G8*I8</f>
        <v>1837.4500575</v>
      </c>
    </row>
    <row r="9" spans="1:10" s="10" customFormat="1" ht="30" customHeight="1" x14ac:dyDescent="0.2">
      <c r="A9" s="11" t="s">
        <v>18</v>
      </c>
      <c r="B9" s="11" t="s">
        <v>67</v>
      </c>
      <c r="C9" s="11" t="s">
        <v>197</v>
      </c>
      <c r="D9" s="11" t="s">
        <v>89</v>
      </c>
      <c r="E9" s="11" t="s">
        <v>273</v>
      </c>
      <c r="F9" s="6" t="s">
        <v>150</v>
      </c>
      <c r="G9" s="66">
        <v>470.16749999999996</v>
      </c>
      <c r="H9" s="60">
        <v>9.59</v>
      </c>
      <c r="I9" s="60">
        <f t="shared" ref="I9:I72" si="0">H9*1.2865</f>
        <v>12.337534999999999</v>
      </c>
      <c r="J9" s="60">
        <f t="shared" ref="J9:J72" si="1">G9*I9</f>
        <v>5800.7079871124988</v>
      </c>
    </row>
    <row r="10" spans="1:10" s="10" customFormat="1" ht="22.5" customHeight="1" x14ac:dyDescent="0.2">
      <c r="A10" s="11" t="s">
        <v>20</v>
      </c>
      <c r="B10" s="11" t="s">
        <v>405</v>
      </c>
      <c r="C10" s="11" t="s">
        <v>197</v>
      </c>
      <c r="D10" s="11" t="s">
        <v>69</v>
      </c>
      <c r="E10" s="11" t="s">
        <v>477</v>
      </c>
      <c r="F10" s="6" t="s">
        <v>150</v>
      </c>
      <c r="G10" s="66">
        <v>70.14</v>
      </c>
      <c r="H10" s="60">
        <v>49.15</v>
      </c>
      <c r="I10" s="60">
        <f t="shared" si="0"/>
        <v>63.231474999999996</v>
      </c>
      <c r="J10" s="60">
        <f t="shared" si="1"/>
        <v>4435.0556564999997</v>
      </c>
    </row>
    <row r="11" spans="1:10" s="10" customFormat="1" ht="22.5" customHeight="1" x14ac:dyDescent="0.2">
      <c r="A11" s="11" t="s">
        <v>21</v>
      </c>
      <c r="B11" s="11" t="s">
        <v>345</v>
      </c>
      <c r="C11" s="11" t="s">
        <v>197</v>
      </c>
      <c r="D11" s="11" t="s">
        <v>427</v>
      </c>
      <c r="E11" s="11" t="s">
        <v>477</v>
      </c>
      <c r="F11" s="6" t="s">
        <v>150</v>
      </c>
      <c r="G11" s="66">
        <v>919.42499999999995</v>
      </c>
      <c r="H11" s="60">
        <v>0.32</v>
      </c>
      <c r="I11" s="60">
        <f t="shared" si="0"/>
        <v>0.41167999999999999</v>
      </c>
      <c r="J11" s="60">
        <f t="shared" si="1"/>
        <v>378.50888399999997</v>
      </c>
    </row>
    <row r="12" spans="1:10" s="10" customFormat="1" ht="30" customHeight="1" x14ac:dyDescent="0.2">
      <c r="A12" s="11" t="s">
        <v>22</v>
      </c>
      <c r="B12" s="11" t="s">
        <v>238</v>
      </c>
      <c r="C12" s="11" t="s">
        <v>197</v>
      </c>
      <c r="D12" s="11" t="s">
        <v>480</v>
      </c>
      <c r="E12" s="11" t="s">
        <v>477</v>
      </c>
      <c r="F12" s="6" t="s">
        <v>284</v>
      </c>
      <c r="G12" s="66">
        <v>1</v>
      </c>
      <c r="H12" s="60">
        <v>1337.95</v>
      </c>
      <c r="I12" s="60">
        <f t="shared" si="0"/>
        <v>1721.2726749999999</v>
      </c>
      <c r="J12" s="60">
        <f t="shared" si="1"/>
        <v>1721.2726749999999</v>
      </c>
    </row>
    <row r="13" spans="1:10" s="10" customFormat="1" ht="15" customHeight="1" x14ac:dyDescent="0.2">
      <c r="A13" s="11" t="s">
        <v>24</v>
      </c>
      <c r="B13" s="11" t="s">
        <v>353</v>
      </c>
      <c r="C13" s="11" t="s">
        <v>100</v>
      </c>
      <c r="D13" s="11" t="s">
        <v>168</v>
      </c>
      <c r="E13" s="11" t="s">
        <v>100</v>
      </c>
      <c r="F13" s="6" t="s">
        <v>284</v>
      </c>
      <c r="G13" s="66">
        <v>1</v>
      </c>
      <c r="H13" s="60">
        <v>206</v>
      </c>
      <c r="I13" s="60">
        <f t="shared" si="0"/>
        <v>265.01900000000001</v>
      </c>
      <c r="J13" s="60">
        <f t="shared" si="1"/>
        <v>265.01900000000001</v>
      </c>
    </row>
    <row r="14" spans="1:10" s="10" customFormat="1" ht="15" customHeight="1" x14ac:dyDescent="0.2">
      <c r="A14" s="11" t="s">
        <v>26</v>
      </c>
      <c r="B14" s="11" t="s">
        <v>374</v>
      </c>
      <c r="C14" s="11" t="s">
        <v>100</v>
      </c>
      <c r="D14" s="11" t="s">
        <v>172</v>
      </c>
      <c r="E14" s="11" t="s">
        <v>100</v>
      </c>
      <c r="F14" s="6" t="s">
        <v>284</v>
      </c>
      <c r="G14" s="66">
        <v>1</v>
      </c>
      <c r="H14" s="60">
        <v>901.57</v>
      </c>
      <c r="I14" s="60">
        <f t="shared" si="0"/>
        <v>1159.869805</v>
      </c>
      <c r="J14" s="60">
        <f t="shared" si="1"/>
        <v>1159.869805</v>
      </c>
    </row>
    <row r="15" spans="1:10" s="10" customFormat="1" ht="22.5" customHeight="1" x14ac:dyDescent="0.2">
      <c r="A15" s="11" t="s">
        <v>27</v>
      </c>
      <c r="B15" s="11" t="s">
        <v>510</v>
      </c>
      <c r="C15" s="11" t="s">
        <v>197</v>
      </c>
      <c r="D15" s="11" t="s">
        <v>101</v>
      </c>
      <c r="E15" s="11" t="s">
        <v>277</v>
      </c>
      <c r="F15" s="6" t="s">
        <v>150</v>
      </c>
      <c r="G15" s="66">
        <v>10</v>
      </c>
      <c r="H15" s="60">
        <v>231.22</v>
      </c>
      <c r="I15" s="60">
        <f t="shared" si="0"/>
        <v>297.46452999999997</v>
      </c>
      <c r="J15" s="60">
        <f t="shared" si="1"/>
        <v>2974.6452999999997</v>
      </c>
    </row>
    <row r="16" spans="1:10" s="10" customFormat="1" ht="30" customHeight="1" x14ac:dyDescent="0.2">
      <c r="A16" s="11" t="s">
        <v>28</v>
      </c>
      <c r="B16" s="11" t="s">
        <v>291</v>
      </c>
      <c r="C16" s="11" t="s">
        <v>197</v>
      </c>
      <c r="D16" s="11" t="s">
        <v>175</v>
      </c>
      <c r="E16" s="11" t="s">
        <v>277</v>
      </c>
      <c r="F16" s="6" t="s">
        <v>150</v>
      </c>
      <c r="G16" s="66">
        <v>40</v>
      </c>
      <c r="H16" s="60">
        <v>532.54999999999995</v>
      </c>
      <c r="I16" s="60">
        <f t="shared" si="0"/>
        <v>685.12557499999991</v>
      </c>
      <c r="J16" s="60">
        <f t="shared" si="1"/>
        <v>27405.022999999997</v>
      </c>
    </row>
    <row r="17" spans="1:10" s="10" customFormat="1" ht="15" customHeight="1" x14ac:dyDescent="0.2">
      <c r="A17" s="56" t="s">
        <v>32</v>
      </c>
      <c r="B17" s="56"/>
      <c r="C17" s="56"/>
      <c r="D17" s="56" t="s">
        <v>500</v>
      </c>
      <c r="E17" s="56"/>
      <c r="F17" s="56"/>
      <c r="G17" s="57"/>
      <c r="H17" s="58"/>
      <c r="I17" s="61"/>
      <c r="J17" s="63">
        <f>SUM(J18:J21)</f>
        <v>3482.2614266840001</v>
      </c>
    </row>
    <row r="18" spans="1:10" s="10" customFormat="1" ht="22.5" customHeight="1" x14ac:dyDescent="0.2">
      <c r="A18" s="11" t="s">
        <v>538</v>
      </c>
      <c r="B18" s="11" t="s">
        <v>486</v>
      </c>
      <c r="C18" s="11" t="s">
        <v>197</v>
      </c>
      <c r="D18" s="11" t="s">
        <v>533</v>
      </c>
      <c r="E18" s="11" t="s">
        <v>236</v>
      </c>
      <c r="F18" s="6" t="s">
        <v>151</v>
      </c>
      <c r="G18" s="66">
        <v>50.552999999999997</v>
      </c>
      <c r="H18" s="60">
        <v>41.96</v>
      </c>
      <c r="I18" s="60">
        <f t="shared" si="0"/>
        <v>53.981540000000003</v>
      </c>
      <c r="J18" s="60">
        <f t="shared" si="1"/>
        <v>2728.9287916200001</v>
      </c>
    </row>
    <row r="19" spans="1:10" s="10" customFormat="1" ht="15" customHeight="1" x14ac:dyDescent="0.2">
      <c r="A19" s="11" t="s">
        <v>539</v>
      </c>
      <c r="B19" s="11" t="s">
        <v>13</v>
      </c>
      <c r="C19" s="11" t="s">
        <v>197</v>
      </c>
      <c r="D19" s="11" t="s">
        <v>446</v>
      </c>
      <c r="E19" s="11" t="s">
        <v>236</v>
      </c>
      <c r="F19" s="6" t="s">
        <v>151</v>
      </c>
      <c r="G19" s="66">
        <v>20.2212</v>
      </c>
      <c r="H19" s="60">
        <v>14.78</v>
      </c>
      <c r="I19" s="60">
        <f t="shared" si="0"/>
        <v>19.014469999999999</v>
      </c>
      <c r="J19" s="60">
        <f t="shared" si="1"/>
        <v>384.49540076399995</v>
      </c>
    </row>
    <row r="20" spans="1:10" s="10" customFormat="1" ht="15" customHeight="1" x14ac:dyDescent="0.2">
      <c r="A20" s="11" t="s">
        <v>540</v>
      </c>
      <c r="B20" s="11" t="s">
        <v>233</v>
      </c>
      <c r="C20" s="11" t="s">
        <v>197</v>
      </c>
      <c r="D20" s="11" t="s">
        <v>525</v>
      </c>
      <c r="E20" s="11" t="s">
        <v>236</v>
      </c>
      <c r="F20" s="6" t="s">
        <v>151</v>
      </c>
      <c r="G20" s="66">
        <v>31.82</v>
      </c>
      <c r="H20" s="60">
        <v>3.43</v>
      </c>
      <c r="I20" s="60">
        <f t="shared" si="0"/>
        <v>4.4126950000000003</v>
      </c>
      <c r="J20" s="60">
        <f t="shared" si="1"/>
        <v>140.41195490000001</v>
      </c>
    </row>
    <row r="21" spans="1:10" s="10" customFormat="1" ht="22.5" customHeight="1" x14ac:dyDescent="0.2">
      <c r="A21" s="11" t="s">
        <v>541</v>
      </c>
      <c r="B21" s="11" t="s">
        <v>591</v>
      </c>
      <c r="C21" s="11" t="s">
        <v>197</v>
      </c>
      <c r="D21" s="11" t="s">
        <v>190</v>
      </c>
      <c r="E21" s="11" t="s">
        <v>236</v>
      </c>
      <c r="F21" s="6" t="s">
        <v>151</v>
      </c>
      <c r="G21" s="66">
        <v>31.82</v>
      </c>
      <c r="H21" s="60">
        <v>5.58</v>
      </c>
      <c r="I21" s="60">
        <f t="shared" si="0"/>
        <v>7.1786700000000003</v>
      </c>
      <c r="J21" s="60">
        <f t="shared" si="1"/>
        <v>228.42527940000002</v>
      </c>
    </row>
    <row r="22" spans="1:10" s="10" customFormat="1" ht="15" customHeight="1" x14ac:dyDescent="0.2">
      <c r="A22" s="56" t="s">
        <v>33</v>
      </c>
      <c r="B22" s="56"/>
      <c r="C22" s="56"/>
      <c r="D22" s="56" t="s">
        <v>354</v>
      </c>
      <c r="E22" s="56"/>
      <c r="F22" s="56"/>
      <c r="G22" s="57"/>
      <c r="H22" s="58"/>
      <c r="I22" s="61"/>
      <c r="J22" s="63">
        <f>SUM(J23:J28)</f>
        <v>57465.74662626248</v>
      </c>
    </row>
    <row r="23" spans="1:10" s="10" customFormat="1" ht="15" customHeight="1" x14ac:dyDescent="0.2">
      <c r="A23" s="11" t="s">
        <v>455</v>
      </c>
      <c r="B23" s="11" t="s">
        <v>330</v>
      </c>
      <c r="C23" s="11" t="s">
        <v>197</v>
      </c>
      <c r="D23" s="11" t="s">
        <v>604</v>
      </c>
      <c r="E23" s="11" t="s">
        <v>252</v>
      </c>
      <c r="F23" s="6" t="s">
        <v>150</v>
      </c>
      <c r="G23" s="66">
        <v>302.58999999999997</v>
      </c>
      <c r="H23" s="60">
        <v>60.53</v>
      </c>
      <c r="I23" s="60">
        <f t="shared" si="0"/>
        <v>77.871844999999993</v>
      </c>
      <c r="J23" s="60">
        <f t="shared" si="1"/>
        <v>23563.241578549994</v>
      </c>
    </row>
    <row r="24" spans="1:10" s="10" customFormat="1" ht="22.5" customHeight="1" x14ac:dyDescent="0.2">
      <c r="A24" s="11" t="s">
        <v>457</v>
      </c>
      <c r="B24" s="11" t="s">
        <v>305</v>
      </c>
      <c r="C24" s="11" t="s">
        <v>197</v>
      </c>
      <c r="D24" s="11" t="s">
        <v>188</v>
      </c>
      <c r="E24" s="11" t="s">
        <v>252</v>
      </c>
      <c r="F24" s="6" t="s">
        <v>150</v>
      </c>
      <c r="G24" s="66">
        <v>302.59249999999997</v>
      </c>
      <c r="H24" s="60">
        <v>34.97</v>
      </c>
      <c r="I24" s="60">
        <f t="shared" si="0"/>
        <v>44.988904999999995</v>
      </c>
      <c r="J24" s="60">
        <f t="shared" si="1"/>
        <v>13613.305236212498</v>
      </c>
    </row>
    <row r="25" spans="1:10" s="10" customFormat="1" ht="22.5" customHeight="1" x14ac:dyDescent="0.2">
      <c r="A25" s="11" t="s">
        <v>458</v>
      </c>
      <c r="B25" s="11" t="s">
        <v>316</v>
      </c>
      <c r="C25" s="11" t="s">
        <v>344</v>
      </c>
      <c r="D25" s="11" t="s">
        <v>161</v>
      </c>
      <c r="E25" s="11" t="s">
        <v>408</v>
      </c>
      <c r="F25" s="6" t="s">
        <v>150</v>
      </c>
      <c r="G25" s="66">
        <v>20.099999999999998</v>
      </c>
      <c r="H25" s="60">
        <v>338.78</v>
      </c>
      <c r="I25" s="60">
        <f t="shared" si="0"/>
        <v>435.84046999999998</v>
      </c>
      <c r="J25" s="60">
        <f t="shared" si="1"/>
        <v>8760.3934469999986</v>
      </c>
    </row>
    <row r="26" spans="1:10" s="10" customFormat="1" ht="22.5" customHeight="1" x14ac:dyDescent="0.2">
      <c r="A26" s="11" t="s">
        <v>459</v>
      </c>
      <c r="B26" s="11" t="s">
        <v>507</v>
      </c>
      <c r="C26" s="11" t="s">
        <v>197</v>
      </c>
      <c r="D26" s="11" t="s">
        <v>237</v>
      </c>
      <c r="E26" s="11" t="s">
        <v>252</v>
      </c>
      <c r="F26" s="6" t="s">
        <v>65</v>
      </c>
      <c r="G26" s="66">
        <v>26.8</v>
      </c>
      <c r="H26" s="60">
        <v>18.8</v>
      </c>
      <c r="I26" s="60">
        <f t="shared" si="0"/>
        <v>24.186199999999999</v>
      </c>
      <c r="J26" s="60">
        <f t="shared" si="1"/>
        <v>648.19015999999999</v>
      </c>
    </row>
    <row r="27" spans="1:10" s="10" customFormat="1" ht="15" customHeight="1" x14ac:dyDescent="0.2">
      <c r="A27" s="11" t="s">
        <v>460</v>
      </c>
      <c r="B27" s="11" t="s">
        <v>0</v>
      </c>
      <c r="C27" s="11" t="s">
        <v>197</v>
      </c>
      <c r="D27" s="11" t="s">
        <v>412</v>
      </c>
      <c r="E27" s="11" t="s">
        <v>252</v>
      </c>
      <c r="F27" s="6" t="s">
        <v>65</v>
      </c>
      <c r="G27" s="66">
        <v>39.6</v>
      </c>
      <c r="H27" s="60">
        <v>53.62</v>
      </c>
      <c r="I27" s="60">
        <f t="shared" si="0"/>
        <v>68.982129999999998</v>
      </c>
      <c r="J27" s="60">
        <f t="shared" si="1"/>
        <v>2731.692348</v>
      </c>
    </row>
    <row r="28" spans="1:10" s="10" customFormat="1" ht="15" customHeight="1" x14ac:dyDescent="0.2">
      <c r="A28" s="11" t="s">
        <v>462</v>
      </c>
      <c r="B28" s="11" t="s">
        <v>4</v>
      </c>
      <c r="C28" s="11" t="s">
        <v>197</v>
      </c>
      <c r="D28" s="11" t="s">
        <v>527</v>
      </c>
      <c r="E28" s="11" t="s">
        <v>252</v>
      </c>
      <c r="F28" s="6" t="s">
        <v>65</v>
      </c>
      <c r="G28" s="66">
        <v>289.10000000000002</v>
      </c>
      <c r="H28" s="60">
        <v>21.91</v>
      </c>
      <c r="I28" s="60">
        <f t="shared" si="0"/>
        <v>28.187214999999998</v>
      </c>
      <c r="J28" s="60">
        <f t="shared" si="1"/>
        <v>8148.9238565000005</v>
      </c>
    </row>
    <row r="29" spans="1:10" s="10" customFormat="1" ht="15" customHeight="1" x14ac:dyDescent="0.2">
      <c r="A29" s="56" t="s">
        <v>34</v>
      </c>
      <c r="B29" s="56"/>
      <c r="C29" s="56"/>
      <c r="D29" s="56" t="s">
        <v>414</v>
      </c>
      <c r="E29" s="56"/>
      <c r="F29" s="56"/>
      <c r="G29" s="57"/>
      <c r="H29" s="58"/>
      <c r="I29" s="61"/>
      <c r="J29" s="61"/>
    </row>
    <row r="30" spans="1:10" s="10" customFormat="1" ht="15" customHeight="1" x14ac:dyDescent="0.2">
      <c r="A30" s="56" t="s">
        <v>388</v>
      </c>
      <c r="B30" s="56"/>
      <c r="C30" s="56"/>
      <c r="D30" s="56" t="s">
        <v>173</v>
      </c>
      <c r="E30" s="56"/>
      <c r="F30" s="56"/>
      <c r="G30" s="57"/>
      <c r="H30" s="58"/>
      <c r="I30" s="61"/>
      <c r="J30" s="63">
        <f>SUM(J31:J37)</f>
        <v>57935.132583762505</v>
      </c>
    </row>
    <row r="31" spans="1:10" s="10" customFormat="1" ht="22.5" customHeight="1" x14ac:dyDescent="0.2">
      <c r="A31" s="11" t="s">
        <v>56</v>
      </c>
      <c r="B31" s="11" t="s">
        <v>251</v>
      </c>
      <c r="C31" s="11" t="s">
        <v>197</v>
      </c>
      <c r="D31" s="11" t="s">
        <v>496</v>
      </c>
      <c r="E31" s="11" t="s">
        <v>154</v>
      </c>
      <c r="F31" s="6" t="s">
        <v>65</v>
      </c>
      <c r="G31" s="3">
        <v>343</v>
      </c>
      <c r="H31" s="60">
        <v>37.229999999999997</v>
      </c>
      <c r="I31" s="60">
        <f t="shared" si="0"/>
        <v>47.896394999999998</v>
      </c>
      <c r="J31" s="60">
        <f t="shared" si="1"/>
        <v>16428.463485</v>
      </c>
    </row>
    <row r="32" spans="1:10" s="10" customFormat="1" ht="22.5" customHeight="1" x14ac:dyDescent="0.2">
      <c r="A32" s="11" t="s">
        <v>57</v>
      </c>
      <c r="B32" s="11" t="s">
        <v>557</v>
      </c>
      <c r="C32" s="11" t="s">
        <v>197</v>
      </c>
      <c r="D32" s="11" t="s">
        <v>177</v>
      </c>
      <c r="E32" s="11" t="s">
        <v>154</v>
      </c>
      <c r="F32" s="6" t="s">
        <v>107</v>
      </c>
      <c r="G32" s="3">
        <v>1146.5999999999999</v>
      </c>
      <c r="H32" s="60">
        <v>8.65</v>
      </c>
      <c r="I32" s="60">
        <f t="shared" si="0"/>
        <v>11.128225</v>
      </c>
      <c r="J32" s="60">
        <f t="shared" si="1"/>
        <v>12759.622785</v>
      </c>
    </row>
    <row r="33" spans="1:10" s="10" customFormat="1" ht="15" customHeight="1" x14ac:dyDescent="0.2">
      <c r="A33" s="11" t="s">
        <v>59</v>
      </c>
      <c r="B33" s="11" t="s">
        <v>343</v>
      </c>
      <c r="C33" s="11" t="s">
        <v>197</v>
      </c>
      <c r="D33" s="11" t="s">
        <v>347</v>
      </c>
      <c r="E33" s="11" t="s">
        <v>154</v>
      </c>
      <c r="F33" s="6" t="s">
        <v>151</v>
      </c>
      <c r="G33" s="3">
        <v>3.0487500000000001</v>
      </c>
      <c r="H33" s="60">
        <v>89.58</v>
      </c>
      <c r="I33" s="60">
        <f t="shared" si="0"/>
        <v>115.24467</v>
      </c>
      <c r="J33" s="60">
        <f t="shared" si="1"/>
        <v>351.3521876625</v>
      </c>
    </row>
    <row r="34" spans="1:10" s="10" customFormat="1" ht="15" customHeight="1" x14ac:dyDescent="0.2">
      <c r="A34" s="11" t="s">
        <v>60</v>
      </c>
      <c r="B34" s="11" t="s">
        <v>15</v>
      </c>
      <c r="C34" s="11" t="s">
        <v>197</v>
      </c>
      <c r="D34" s="11" t="s">
        <v>78</v>
      </c>
      <c r="E34" s="11" t="s">
        <v>154</v>
      </c>
      <c r="F34" s="6" t="s">
        <v>150</v>
      </c>
      <c r="G34" s="3">
        <v>130.34</v>
      </c>
      <c r="H34" s="60">
        <v>25.03</v>
      </c>
      <c r="I34" s="60">
        <f t="shared" si="0"/>
        <v>32.201095000000002</v>
      </c>
      <c r="J34" s="60">
        <f t="shared" si="1"/>
        <v>4197.0907223000004</v>
      </c>
    </row>
    <row r="35" spans="1:10" s="10" customFormat="1" ht="22.5" customHeight="1" x14ac:dyDescent="0.2">
      <c r="A35" s="11" t="s">
        <v>61</v>
      </c>
      <c r="B35" s="11" t="s">
        <v>557</v>
      </c>
      <c r="C35" s="11" t="s">
        <v>197</v>
      </c>
      <c r="D35" s="11" t="s">
        <v>177</v>
      </c>
      <c r="E35" s="11" t="s">
        <v>154</v>
      </c>
      <c r="F35" s="6" t="s">
        <v>107</v>
      </c>
      <c r="G35" s="3">
        <v>735</v>
      </c>
      <c r="H35" s="60">
        <v>8.65</v>
      </c>
      <c r="I35" s="60">
        <f t="shared" si="0"/>
        <v>11.128225</v>
      </c>
      <c r="J35" s="60">
        <f t="shared" si="1"/>
        <v>8179.2453750000004</v>
      </c>
    </row>
    <row r="36" spans="1:10" s="10" customFormat="1" ht="22.5" customHeight="1" x14ac:dyDescent="0.2">
      <c r="A36" s="11" t="s">
        <v>63</v>
      </c>
      <c r="B36" s="11" t="s">
        <v>321</v>
      </c>
      <c r="C36" s="11" t="s">
        <v>197</v>
      </c>
      <c r="D36" s="11" t="s">
        <v>25</v>
      </c>
      <c r="E36" s="11" t="s">
        <v>154</v>
      </c>
      <c r="F36" s="6" t="s">
        <v>107</v>
      </c>
      <c r="G36" s="3"/>
      <c r="H36" s="60">
        <v>8.5299999999999994</v>
      </c>
      <c r="I36" s="60">
        <f t="shared" si="0"/>
        <v>10.973844999999999</v>
      </c>
      <c r="J36" s="60">
        <f t="shared" si="1"/>
        <v>0</v>
      </c>
    </row>
    <row r="37" spans="1:10" s="10" customFormat="1" ht="15" customHeight="1" x14ac:dyDescent="0.2">
      <c r="A37" s="11" t="s">
        <v>64</v>
      </c>
      <c r="B37" s="11" t="s">
        <v>337</v>
      </c>
      <c r="C37" s="11" t="s">
        <v>197</v>
      </c>
      <c r="D37" s="11" t="s">
        <v>193</v>
      </c>
      <c r="E37" s="11" t="s">
        <v>154</v>
      </c>
      <c r="F37" s="6" t="s">
        <v>151</v>
      </c>
      <c r="G37" s="3">
        <v>37.56</v>
      </c>
      <c r="H37" s="60">
        <v>331.52</v>
      </c>
      <c r="I37" s="60">
        <f t="shared" si="0"/>
        <v>426.50047999999998</v>
      </c>
      <c r="J37" s="60">
        <f t="shared" si="1"/>
        <v>16019.358028800001</v>
      </c>
    </row>
    <row r="38" spans="1:10" s="10" customFormat="1" ht="15" customHeight="1" x14ac:dyDescent="0.2">
      <c r="A38" s="56" t="s">
        <v>389</v>
      </c>
      <c r="B38" s="56"/>
      <c r="C38" s="56"/>
      <c r="D38" s="56" t="s">
        <v>428</v>
      </c>
      <c r="E38" s="56"/>
      <c r="F38" s="56"/>
      <c r="G38" s="57"/>
      <c r="H38" s="58"/>
      <c r="I38" s="61"/>
      <c r="J38" s="63">
        <f>SUM(J39:J44)</f>
        <v>72860.026821350009</v>
      </c>
    </row>
    <row r="39" spans="1:10" s="10" customFormat="1" ht="37.5" customHeight="1" x14ac:dyDescent="0.2">
      <c r="A39" s="11" t="s">
        <v>566</v>
      </c>
      <c r="B39" s="11" t="s">
        <v>131</v>
      </c>
      <c r="C39" s="11" t="s">
        <v>197</v>
      </c>
      <c r="D39" s="11" t="s">
        <v>41</v>
      </c>
      <c r="E39" s="11" t="s">
        <v>154</v>
      </c>
      <c r="F39" s="6" t="s">
        <v>150</v>
      </c>
      <c r="G39" s="3">
        <v>317.39</v>
      </c>
      <c r="H39" s="4">
        <v>32.700000000000003</v>
      </c>
      <c r="I39" s="4">
        <f t="shared" si="0"/>
        <v>42.068550000000002</v>
      </c>
      <c r="J39" s="4">
        <f t="shared" si="1"/>
        <v>13352.1370845</v>
      </c>
    </row>
    <row r="40" spans="1:10" s="10" customFormat="1" ht="22.5" customHeight="1" x14ac:dyDescent="0.2">
      <c r="A40" s="11" t="s">
        <v>567</v>
      </c>
      <c r="B40" s="11" t="s">
        <v>557</v>
      </c>
      <c r="C40" s="11" t="s">
        <v>197</v>
      </c>
      <c r="D40" s="11" t="s">
        <v>177</v>
      </c>
      <c r="E40" s="11" t="s">
        <v>154</v>
      </c>
      <c r="F40" s="6" t="s">
        <v>107</v>
      </c>
      <c r="G40" s="3">
        <v>1454.95</v>
      </c>
      <c r="H40" s="4">
        <v>8.65</v>
      </c>
      <c r="I40" s="4">
        <f t="shared" si="0"/>
        <v>11.128225</v>
      </c>
      <c r="J40" s="4">
        <f t="shared" si="1"/>
        <v>16191.010963750001</v>
      </c>
    </row>
    <row r="41" spans="1:10" s="10" customFormat="1" ht="22.5" customHeight="1" x14ac:dyDescent="0.2">
      <c r="A41" s="11" t="s">
        <v>569</v>
      </c>
      <c r="B41" s="11" t="s">
        <v>321</v>
      </c>
      <c r="C41" s="11" t="s">
        <v>197</v>
      </c>
      <c r="D41" s="11" t="s">
        <v>25</v>
      </c>
      <c r="E41" s="11" t="s">
        <v>154</v>
      </c>
      <c r="F41" s="6" t="s">
        <v>107</v>
      </c>
      <c r="G41" s="3">
        <v>594.28</v>
      </c>
      <c r="H41" s="4">
        <v>8.5299999999999994</v>
      </c>
      <c r="I41" s="4">
        <f t="shared" si="0"/>
        <v>10.973844999999999</v>
      </c>
      <c r="J41" s="4">
        <f t="shared" si="1"/>
        <v>6521.5366065999988</v>
      </c>
    </row>
    <row r="42" spans="1:10" s="10" customFormat="1" ht="15" customHeight="1" x14ac:dyDescent="0.2">
      <c r="A42" s="11" t="s">
        <v>570</v>
      </c>
      <c r="B42" s="11" t="s">
        <v>337</v>
      </c>
      <c r="C42" s="11" t="s">
        <v>197</v>
      </c>
      <c r="D42" s="11" t="s">
        <v>193</v>
      </c>
      <c r="E42" s="11" t="s">
        <v>154</v>
      </c>
      <c r="F42" s="6" t="s">
        <v>151</v>
      </c>
      <c r="G42" s="3">
        <v>18.78</v>
      </c>
      <c r="H42" s="4">
        <v>331.52</v>
      </c>
      <c r="I42" s="4">
        <f t="shared" si="0"/>
        <v>426.50047999999998</v>
      </c>
      <c r="J42" s="4">
        <f t="shared" si="1"/>
        <v>8009.6790144000006</v>
      </c>
    </row>
    <row r="43" spans="1:10" s="10" customFormat="1" ht="37.5" customHeight="1" x14ac:dyDescent="0.2">
      <c r="A43" s="11" t="s">
        <v>573</v>
      </c>
      <c r="B43" s="11" t="s">
        <v>485</v>
      </c>
      <c r="C43" s="11" t="s">
        <v>197</v>
      </c>
      <c r="D43" s="11" t="s">
        <v>169</v>
      </c>
      <c r="E43" s="11" t="s">
        <v>154</v>
      </c>
      <c r="F43" s="6" t="s">
        <v>150</v>
      </c>
      <c r="G43" s="3">
        <v>303.42</v>
      </c>
      <c r="H43" s="4">
        <v>64.97</v>
      </c>
      <c r="I43" s="4">
        <f t="shared" si="0"/>
        <v>83.583905000000001</v>
      </c>
      <c r="J43" s="4">
        <f t="shared" si="1"/>
        <v>25361.0284551</v>
      </c>
    </row>
    <row r="44" spans="1:10" s="10" customFormat="1" ht="30" customHeight="1" x14ac:dyDescent="0.2">
      <c r="A44" s="11" t="s">
        <v>574</v>
      </c>
      <c r="B44" s="11" t="s">
        <v>155</v>
      </c>
      <c r="C44" s="11" t="s">
        <v>197</v>
      </c>
      <c r="D44" s="11" t="s">
        <v>232</v>
      </c>
      <c r="E44" s="11" t="s">
        <v>154</v>
      </c>
      <c r="F44" s="6" t="s">
        <v>65</v>
      </c>
      <c r="G44" s="3">
        <v>152.19999999999999</v>
      </c>
      <c r="H44" s="4">
        <v>17.489999999999998</v>
      </c>
      <c r="I44" s="4">
        <f t="shared" si="0"/>
        <v>22.500884999999997</v>
      </c>
      <c r="J44" s="4">
        <f t="shared" si="1"/>
        <v>3424.6346969999991</v>
      </c>
    </row>
    <row r="45" spans="1:10" s="10" customFormat="1" ht="15" customHeight="1" x14ac:dyDescent="0.2">
      <c r="A45" s="56" t="s">
        <v>35</v>
      </c>
      <c r="B45" s="56"/>
      <c r="C45" s="56"/>
      <c r="D45" s="56" t="s">
        <v>68</v>
      </c>
      <c r="E45" s="56"/>
      <c r="F45" s="56"/>
      <c r="G45" s="57"/>
      <c r="H45" s="58"/>
      <c r="I45" s="61"/>
      <c r="J45" s="63">
        <f>SUM(J46)</f>
        <v>48543.780647225001</v>
      </c>
    </row>
    <row r="46" spans="1:10" s="10" customFormat="1" ht="45" customHeight="1" x14ac:dyDescent="0.2">
      <c r="A46" s="11" t="s">
        <v>324</v>
      </c>
      <c r="B46" s="11" t="s">
        <v>327</v>
      </c>
      <c r="C46" s="11" t="s">
        <v>197</v>
      </c>
      <c r="D46" s="11" t="s">
        <v>558</v>
      </c>
      <c r="E46" s="11" t="s">
        <v>208</v>
      </c>
      <c r="F46" s="6" t="s">
        <v>150</v>
      </c>
      <c r="G46" s="3">
        <v>724.38499999999999</v>
      </c>
      <c r="H46" s="60">
        <v>52.09</v>
      </c>
      <c r="I46" s="60">
        <f t="shared" si="0"/>
        <v>67.013784999999999</v>
      </c>
      <c r="J46" s="60">
        <f t="shared" si="1"/>
        <v>48543.780647225001</v>
      </c>
    </row>
    <row r="47" spans="1:10" s="10" customFormat="1" ht="15" customHeight="1" x14ac:dyDescent="0.2">
      <c r="A47" s="56" t="s">
        <v>326</v>
      </c>
      <c r="B47" s="56"/>
      <c r="C47" s="56"/>
      <c r="D47" s="56" t="s">
        <v>105</v>
      </c>
      <c r="E47" s="56"/>
      <c r="F47" s="56"/>
      <c r="G47" s="57"/>
      <c r="H47" s="58"/>
      <c r="I47" s="61"/>
      <c r="J47" s="63">
        <f>SUM(J48)</f>
        <v>12250.119898000001</v>
      </c>
    </row>
    <row r="48" spans="1:10" s="10" customFormat="1" ht="45" customHeight="1" x14ac:dyDescent="0.2">
      <c r="A48" s="11" t="s">
        <v>142</v>
      </c>
      <c r="B48" s="11" t="s">
        <v>327</v>
      </c>
      <c r="C48" s="11" t="s">
        <v>197</v>
      </c>
      <c r="D48" s="11" t="s">
        <v>558</v>
      </c>
      <c r="E48" s="11" t="s">
        <v>208</v>
      </c>
      <c r="F48" s="6" t="s">
        <v>150</v>
      </c>
      <c r="G48" s="3">
        <v>182.8</v>
      </c>
      <c r="H48" s="3">
        <v>52.09</v>
      </c>
      <c r="I48" s="60">
        <f t="shared" si="0"/>
        <v>67.013784999999999</v>
      </c>
      <c r="J48" s="60">
        <f t="shared" si="1"/>
        <v>12250.119898000001</v>
      </c>
    </row>
    <row r="49" spans="1:10" s="10" customFormat="1" ht="15" customHeight="1" x14ac:dyDescent="0.2">
      <c r="A49" s="56" t="s">
        <v>36</v>
      </c>
      <c r="B49" s="56"/>
      <c r="C49" s="56"/>
      <c r="D49" s="56" t="s">
        <v>153</v>
      </c>
      <c r="E49" s="56"/>
      <c r="F49" s="56"/>
      <c r="G49" s="57"/>
      <c r="H49" s="58"/>
      <c r="I49" s="61"/>
      <c r="J49" s="63">
        <f>SUM(J50:J52)</f>
        <v>2113.69698625</v>
      </c>
    </row>
    <row r="50" spans="1:10" s="10" customFormat="1" ht="22.5" customHeight="1" x14ac:dyDescent="0.2">
      <c r="A50" s="11" t="s">
        <v>239</v>
      </c>
      <c r="B50" s="11" t="s">
        <v>504</v>
      </c>
      <c r="C50" s="11" t="s">
        <v>197</v>
      </c>
      <c r="D50" s="11" t="s">
        <v>87</v>
      </c>
      <c r="E50" s="11" t="s">
        <v>317</v>
      </c>
      <c r="F50" s="6" t="s">
        <v>150</v>
      </c>
      <c r="G50" s="3">
        <v>81.300000000000011</v>
      </c>
      <c r="H50" s="60">
        <v>7.9</v>
      </c>
      <c r="I50" s="60">
        <f t="shared" si="0"/>
        <v>10.163349999999999</v>
      </c>
      <c r="J50" s="60">
        <f t="shared" si="1"/>
        <v>826.2803550000001</v>
      </c>
    </row>
    <row r="51" spans="1:10" s="10" customFormat="1" ht="22.5" customHeight="1" x14ac:dyDescent="0.2">
      <c r="A51" s="11" t="s">
        <v>240</v>
      </c>
      <c r="B51" s="11" t="s">
        <v>369</v>
      </c>
      <c r="C51" s="11" t="s">
        <v>197</v>
      </c>
      <c r="D51" s="11" t="s">
        <v>418</v>
      </c>
      <c r="E51" s="11" t="s">
        <v>317</v>
      </c>
      <c r="F51" s="6" t="s">
        <v>150</v>
      </c>
      <c r="G51" s="3">
        <v>11.15</v>
      </c>
      <c r="H51" s="60">
        <v>66.37</v>
      </c>
      <c r="I51" s="60">
        <f t="shared" si="0"/>
        <v>85.385005000000007</v>
      </c>
      <c r="J51" s="60">
        <f t="shared" si="1"/>
        <v>952.04280575000007</v>
      </c>
    </row>
    <row r="52" spans="1:10" s="10" customFormat="1" ht="22.5" customHeight="1" x14ac:dyDescent="0.2">
      <c r="A52" s="11" t="s">
        <v>241</v>
      </c>
      <c r="B52" s="11" t="s">
        <v>385</v>
      </c>
      <c r="C52" s="11" t="s">
        <v>197</v>
      </c>
      <c r="D52" s="11" t="s">
        <v>85</v>
      </c>
      <c r="E52" s="11" t="s">
        <v>317</v>
      </c>
      <c r="F52" s="6" t="s">
        <v>150</v>
      </c>
      <c r="G52" s="3">
        <v>11.15</v>
      </c>
      <c r="H52" s="60">
        <v>23.38</v>
      </c>
      <c r="I52" s="60">
        <f t="shared" si="0"/>
        <v>30.07837</v>
      </c>
      <c r="J52" s="60">
        <f t="shared" si="1"/>
        <v>335.37382550000001</v>
      </c>
    </row>
    <row r="53" spans="1:10" s="10" customFormat="1" ht="15" customHeight="1" x14ac:dyDescent="0.2">
      <c r="A53" s="56" t="s">
        <v>37</v>
      </c>
      <c r="B53" s="56"/>
      <c r="C53" s="56"/>
      <c r="D53" s="56" t="s">
        <v>606</v>
      </c>
      <c r="E53" s="56"/>
      <c r="F53" s="56"/>
      <c r="G53" s="57"/>
      <c r="H53" s="58"/>
      <c r="I53" s="61"/>
      <c r="J53" s="61"/>
    </row>
    <row r="54" spans="1:10" s="10" customFormat="1" ht="15" customHeight="1" x14ac:dyDescent="0.2">
      <c r="A54" s="56" t="s">
        <v>163</v>
      </c>
      <c r="B54" s="56"/>
      <c r="C54" s="56"/>
      <c r="D54" s="56" t="s">
        <v>438</v>
      </c>
      <c r="E54" s="56"/>
      <c r="F54" s="56"/>
      <c r="G54" s="57"/>
      <c r="H54" s="58"/>
      <c r="I54" s="61"/>
      <c r="J54" s="63">
        <f>SUM(J55:J64)</f>
        <v>84498.801533400008</v>
      </c>
    </row>
    <row r="55" spans="1:10" s="10" customFormat="1" ht="37.5" customHeight="1" x14ac:dyDescent="0.2">
      <c r="A55" s="11" t="s">
        <v>543</v>
      </c>
      <c r="B55" s="11" t="s">
        <v>395</v>
      </c>
      <c r="C55" s="11" t="s">
        <v>197</v>
      </c>
      <c r="D55" s="11" t="s">
        <v>421</v>
      </c>
      <c r="E55" s="11" t="s">
        <v>349</v>
      </c>
      <c r="F55" s="6" t="s">
        <v>150</v>
      </c>
      <c r="G55" s="3">
        <v>281.2</v>
      </c>
      <c r="H55" s="60">
        <v>62.22</v>
      </c>
      <c r="I55" s="60">
        <f t="shared" si="0"/>
        <v>80.046030000000002</v>
      </c>
      <c r="J55" s="60">
        <f t="shared" si="1"/>
        <v>22508.943636</v>
      </c>
    </row>
    <row r="56" spans="1:10" s="10" customFormat="1" ht="22.5" customHeight="1" x14ac:dyDescent="0.2">
      <c r="A56" s="11" t="s">
        <v>544</v>
      </c>
      <c r="B56" s="11" t="s">
        <v>139</v>
      </c>
      <c r="C56" s="11" t="s">
        <v>197</v>
      </c>
      <c r="D56" s="11" t="s">
        <v>9</v>
      </c>
      <c r="E56" s="11" t="s">
        <v>349</v>
      </c>
      <c r="F56" s="6" t="s">
        <v>150</v>
      </c>
      <c r="G56" s="3">
        <v>281.2</v>
      </c>
      <c r="H56" s="60">
        <v>29.7</v>
      </c>
      <c r="I56" s="60">
        <f t="shared" si="0"/>
        <v>38.209049999999998</v>
      </c>
      <c r="J56" s="60">
        <f t="shared" si="1"/>
        <v>10744.384859999998</v>
      </c>
    </row>
    <row r="57" spans="1:10" s="10" customFormat="1" ht="37.5" customHeight="1" x14ac:dyDescent="0.2">
      <c r="A57" s="11" t="s">
        <v>546</v>
      </c>
      <c r="B57" s="11" t="s">
        <v>603</v>
      </c>
      <c r="C57" s="11" t="s">
        <v>197</v>
      </c>
      <c r="D57" s="11" t="s">
        <v>492</v>
      </c>
      <c r="E57" s="11" t="s">
        <v>349</v>
      </c>
      <c r="F57" s="6" t="s">
        <v>150</v>
      </c>
      <c r="G57" s="3">
        <v>198.80999999999997</v>
      </c>
      <c r="H57" s="60">
        <v>34.49</v>
      </c>
      <c r="I57" s="60">
        <f t="shared" si="0"/>
        <v>44.371385000000004</v>
      </c>
      <c r="J57" s="60">
        <f t="shared" si="1"/>
        <v>8821.4750518500005</v>
      </c>
    </row>
    <row r="58" spans="1:10" s="10" customFormat="1" ht="30" customHeight="1" x14ac:dyDescent="0.2">
      <c r="A58" s="11" t="s">
        <v>547</v>
      </c>
      <c r="B58" s="11" t="s">
        <v>346</v>
      </c>
      <c r="C58" s="11" t="s">
        <v>197</v>
      </c>
      <c r="D58" s="11" t="s">
        <v>195</v>
      </c>
      <c r="E58" s="11" t="s">
        <v>598</v>
      </c>
      <c r="F58" s="6" t="s">
        <v>150</v>
      </c>
      <c r="G58" s="3">
        <v>83.53</v>
      </c>
      <c r="H58" s="60">
        <v>51.43</v>
      </c>
      <c r="I58" s="60">
        <f t="shared" si="0"/>
        <v>66.164694999999995</v>
      </c>
      <c r="J58" s="60">
        <f t="shared" si="1"/>
        <v>5526.73697335</v>
      </c>
    </row>
    <row r="59" spans="1:10" s="10" customFormat="1" ht="22.5" customHeight="1" x14ac:dyDescent="0.2">
      <c r="A59" s="11" t="s">
        <v>548</v>
      </c>
      <c r="B59" s="11" t="s">
        <v>8</v>
      </c>
      <c r="C59" s="11" t="s">
        <v>197</v>
      </c>
      <c r="D59" s="11" t="s">
        <v>575</v>
      </c>
      <c r="E59" s="11" t="s">
        <v>154</v>
      </c>
      <c r="F59" s="6" t="s">
        <v>151</v>
      </c>
      <c r="G59" s="3">
        <v>142.88999999999999</v>
      </c>
      <c r="H59" s="60">
        <v>90.62</v>
      </c>
      <c r="I59" s="60">
        <f t="shared" si="0"/>
        <v>116.58263000000001</v>
      </c>
      <c r="J59" s="60">
        <f t="shared" si="1"/>
        <v>16658.4920007</v>
      </c>
    </row>
    <row r="60" spans="1:10" s="10" customFormat="1" ht="37.5" customHeight="1" x14ac:dyDescent="0.2">
      <c r="A60" s="11" t="s">
        <v>549</v>
      </c>
      <c r="B60" s="11" t="s">
        <v>318</v>
      </c>
      <c r="C60" s="11" t="s">
        <v>197</v>
      </c>
      <c r="D60" s="11" t="s">
        <v>453</v>
      </c>
      <c r="E60" s="11" t="s">
        <v>577</v>
      </c>
      <c r="F60" s="6" t="s">
        <v>65</v>
      </c>
      <c r="G60" s="3">
        <v>29.9</v>
      </c>
      <c r="H60" s="60">
        <v>32.85</v>
      </c>
      <c r="I60" s="60">
        <f t="shared" si="0"/>
        <v>42.261524999999999</v>
      </c>
      <c r="J60" s="60">
        <f t="shared" si="1"/>
        <v>1263.6195974999998</v>
      </c>
    </row>
    <row r="61" spans="1:10" s="10" customFormat="1" ht="22.5" customHeight="1" x14ac:dyDescent="0.2">
      <c r="A61" s="11" t="s">
        <v>550</v>
      </c>
      <c r="B61" s="11" t="s">
        <v>212</v>
      </c>
      <c r="C61" s="11" t="s">
        <v>197</v>
      </c>
      <c r="D61" s="11" t="s">
        <v>422</v>
      </c>
      <c r="E61" s="11" t="s">
        <v>577</v>
      </c>
      <c r="F61" s="6" t="s">
        <v>65</v>
      </c>
      <c r="G61" s="3">
        <v>29.9</v>
      </c>
      <c r="H61" s="60">
        <v>36.159999999999997</v>
      </c>
      <c r="I61" s="60">
        <f t="shared" si="0"/>
        <v>46.519839999999995</v>
      </c>
      <c r="J61" s="60">
        <f t="shared" si="1"/>
        <v>1390.9432159999999</v>
      </c>
    </row>
    <row r="62" spans="1:10" s="10" customFormat="1" ht="30" customHeight="1" x14ac:dyDescent="0.2">
      <c r="A62" s="11" t="s">
        <v>551</v>
      </c>
      <c r="B62" s="11" t="s">
        <v>211</v>
      </c>
      <c r="C62" s="11" t="s">
        <v>197</v>
      </c>
      <c r="D62" s="11" t="s">
        <v>545</v>
      </c>
      <c r="E62" s="11" t="s">
        <v>349</v>
      </c>
      <c r="F62" s="6" t="s">
        <v>150</v>
      </c>
      <c r="G62" s="3">
        <v>281.2</v>
      </c>
      <c r="H62" s="60">
        <v>32.36</v>
      </c>
      <c r="I62" s="60">
        <f t="shared" si="0"/>
        <v>41.631140000000002</v>
      </c>
      <c r="J62" s="60">
        <f t="shared" si="1"/>
        <v>11706.676568000001</v>
      </c>
    </row>
    <row r="63" spans="1:10" s="10" customFormat="1" ht="37.5" customHeight="1" x14ac:dyDescent="0.2">
      <c r="A63" s="11" t="s">
        <v>553</v>
      </c>
      <c r="B63" s="11" t="s">
        <v>376</v>
      </c>
      <c r="C63" s="11" t="s">
        <v>344</v>
      </c>
      <c r="D63" s="11" t="s">
        <v>80</v>
      </c>
      <c r="E63" s="11" t="s">
        <v>250</v>
      </c>
      <c r="F63" s="6" t="s">
        <v>83</v>
      </c>
      <c r="G63" s="3">
        <v>209.25</v>
      </c>
      <c r="H63" s="60">
        <v>18.54</v>
      </c>
      <c r="I63" s="60">
        <f t="shared" si="0"/>
        <v>23.851709999999997</v>
      </c>
      <c r="J63" s="60">
        <f t="shared" si="1"/>
        <v>4990.9703174999995</v>
      </c>
    </row>
    <row r="64" spans="1:10" s="10" customFormat="1" ht="22.5" customHeight="1" x14ac:dyDescent="0.2">
      <c r="A64" s="11" t="s">
        <v>62</v>
      </c>
      <c r="B64" s="11" t="s">
        <v>289</v>
      </c>
      <c r="C64" s="11" t="s">
        <v>197</v>
      </c>
      <c r="D64" s="11" t="s">
        <v>118</v>
      </c>
      <c r="E64" s="11" t="s">
        <v>349</v>
      </c>
      <c r="F64" s="6" t="s">
        <v>65</v>
      </c>
      <c r="G64" s="3">
        <v>14.9</v>
      </c>
      <c r="H64" s="60">
        <v>46.25</v>
      </c>
      <c r="I64" s="60">
        <f t="shared" si="0"/>
        <v>59.500624999999999</v>
      </c>
      <c r="J64" s="60">
        <f t="shared" si="1"/>
        <v>886.55931250000003</v>
      </c>
    </row>
    <row r="65" spans="1:10" s="10" customFormat="1" ht="15" customHeight="1" x14ac:dyDescent="0.2">
      <c r="A65" s="56" t="s">
        <v>164</v>
      </c>
      <c r="B65" s="56"/>
      <c r="C65" s="56"/>
      <c r="D65" s="56" t="s">
        <v>86</v>
      </c>
      <c r="E65" s="56"/>
      <c r="F65" s="56"/>
      <c r="G65" s="57"/>
      <c r="H65" s="58"/>
      <c r="I65" s="61"/>
      <c r="J65" s="64">
        <f>SUM(J66:J73)</f>
        <v>97425.385130549999</v>
      </c>
    </row>
    <row r="66" spans="1:10" s="10" customFormat="1" ht="37.5" customHeight="1" x14ac:dyDescent="0.2">
      <c r="A66" s="11" t="s">
        <v>461</v>
      </c>
      <c r="B66" s="11" t="s">
        <v>380</v>
      </c>
      <c r="C66" s="11" t="s">
        <v>197</v>
      </c>
      <c r="D66" s="11" t="s">
        <v>470</v>
      </c>
      <c r="E66" s="11" t="s">
        <v>555</v>
      </c>
      <c r="F66" s="6" t="s">
        <v>150</v>
      </c>
      <c r="G66" s="3">
        <v>1448.77</v>
      </c>
      <c r="H66" s="60">
        <v>2.4500000000000002</v>
      </c>
      <c r="I66" s="60">
        <f t="shared" si="0"/>
        <v>3.1519250000000003</v>
      </c>
      <c r="J66" s="60">
        <f t="shared" si="1"/>
        <v>4566.41438225</v>
      </c>
    </row>
    <row r="67" spans="1:10" s="10" customFormat="1" ht="45" customHeight="1" x14ac:dyDescent="0.2">
      <c r="A67" s="11" t="s">
        <v>463</v>
      </c>
      <c r="B67" s="11" t="s">
        <v>398</v>
      </c>
      <c r="C67" s="11" t="s">
        <v>197</v>
      </c>
      <c r="D67" s="11" t="s">
        <v>386</v>
      </c>
      <c r="E67" s="11" t="s">
        <v>555</v>
      </c>
      <c r="F67" s="6" t="s">
        <v>150</v>
      </c>
      <c r="G67" s="3">
        <v>0</v>
      </c>
      <c r="H67" s="60">
        <v>4.66</v>
      </c>
      <c r="I67" s="60">
        <f t="shared" si="0"/>
        <v>5.9950900000000003</v>
      </c>
      <c r="J67" s="60">
        <f t="shared" si="1"/>
        <v>0</v>
      </c>
    </row>
    <row r="68" spans="1:10" s="10" customFormat="1" ht="52.5" customHeight="1" x14ac:dyDescent="0.2">
      <c r="A68" s="11" t="s">
        <v>465</v>
      </c>
      <c r="B68" s="11" t="s">
        <v>535</v>
      </c>
      <c r="C68" s="11" t="s">
        <v>197</v>
      </c>
      <c r="D68" s="11" t="s">
        <v>340</v>
      </c>
      <c r="E68" s="11" t="s">
        <v>555</v>
      </c>
      <c r="F68" s="6" t="s">
        <v>150</v>
      </c>
      <c r="G68" s="3">
        <v>1448.77</v>
      </c>
      <c r="H68" s="60">
        <v>24.67</v>
      </c>
      <c r="I68" s="60">
        <f t="shared" si="0"/>
        <v>31.737955000000003</v>
      </c>
      <c r="J68" s="60">
        <f t="shared" si="1"/>
        <v>45980.997065350006</v>
      </c>
    </row>
    <row r="69" spans="1:10" s="10" customFormat="1" ht="52.5" customHeight="1" x14ac:dyDescent="0.2">
      <c r="A69" s="11" t="s">
        <v>467</v>
      </c>
      <c r="B69" s="11" t="s">
        <v>335</v>
      </c>
      <c r="C69" s="11" t="s">
        <v>197</v>
      </c>
      <c r="D69" s="11" t="s">
        <v>568</v>
      </c>
      <c r="E69" s="11" t="s">
        <v>555</v>
      </c>
      <c r="F69" s="6" t="s">
        <v>150</v>
      </c>
      <c r="G69" s="3">
        <v>167.16</v>
      </c>
      <c r="H69" s="60">
        <v>45.4</v>
      </c>
      <c r="I69" s="60">
        <f t="shared" si="0"/>
        <v>58.4071</v>
      </c>
      <c r="J69" s="60">
        <f t="shared" si="1"/>
        <v>9763.3308359999992</v>
      </c>
    </row>
    <row r="70" spans="1:10" s="10" customFormat="1" ht="15" customHeight="1" x14ac:dyDescent="0.2">
      <c r="A70" s="11" t="s">
        <v>468</v>
      </c>
      <c r="B70" s="11" t="s">
        <v>95</v>
      </c>
      <c r="C70" s="11" t="s">
        <v>197</v>
      </c>
      <c r="D70" s="11" t="s">
        <v>156</v>
      </c>
      <c r="E70" s="11" t="s">
        <v>160</v>
      </c>
      <c r="F70" s="6" t="s">
        <v>150</v>
      </c>
      <c r="G70" s="66">
        <v>935.08499999999992</v>
      </c>
      <c r="H70" s="60">
        <v>13.68</v>
      </c>
      <c r="I70" s="60">
        <f t="shared" si="0"/>
        <v>17.599319999999999</v>
      </c>
      <c r="J70" s="60">
        <f t="shared" si="1"/>
        <v>16456.860142199999</v>
      </c>
    </row>
    <row r="71" spans="1:10" s="10" customFormat="1" ht="22.5" customHeight="1" x14ac:dyDescent="0.2">
      <c r="A71" s="11" t="s">
        <v>469</v>
      </c>
      <c r="B71" s="11" t="s">
        <v>115</v>
      </c>
      <c r="C71" s="11" t="s">
        <v>197</v>
      </c>
      <c r="D71" s="11" t="s">
        <v>487</v>
      </c>
      <c r="E71" s="11" t="s">
        <v>160</v>
      </c>
      <c r="F71" s="6" t="s">
        <v>150</v>
      </c>
      <c r="G71" s="66">
        <v>935.08499999999992</v>
      </c>
      <c r="H71" s="60">
        <v>9.15</v>
      </c>
      <c r="I71" s="60">
        <f t="shared" si="0"/>
        <v>11.771475000000001</v>
      </c>
      <c r="J71" s="60">
        <f t="shared" si="1"/>
        <v>11007.329700374999</v>
      </c>
    </row>
    <row r="72" spans="1:10" s="10" customFormat="1" ht="30" customHeight="1" x14ac:dyDescent="0.2">
      <c r="A72" s="11" t="s">
        <v>471</v>
      </c>
      <c r="B72" s="11" t="s">
        <v>401</v>
      </c>
      <c r="C72" s="11" t="s">
        <v>197</v>
      </c>
      <c r="D72" s="11" t="s">
        <v>96</v>
      </c>
      <c r="E72" s="11" t="s">
        <v>555</v>
      </c>
      <c r="F72" s="6" t="s">
        <v>65</v>
      </c>
      <c r="G72" s="66">
        <v>33.75</v>
      </c>
      <c r="H72" s="60">
        <v>63.63</v>
      </c>
      <c r="I72" s="60">
        <f t="shared" si="0"/>
        <v>81.859994999999998</v>
      </c>
      <c r="J72" s="60">
        <f t="shared" si="1"/>
        <v>2762.7748312499998</v>
      </c>
    </row>
    <row r="73" spans="1:10" s="10" customFormat="1" ht="22.5" customHeight="1" x14ac:dyDescent="0.2">
      <c r="A73" s="11" t="s">
        <v>473</v>
      </c>
      <c r="B73" s="11" t="s">
        <v>19</v>
      </c>
      <c r="C73" s="11" t="s">
        <v>197</v>
      </c>
      <c r="D73" s="11" t="s">
        <v>130</v>
      </c>
      <c r="E73" s="11" t="s">
        <v>160</v>
      </c>
      <c r="F73" s="6" t="s">
        <v>150</v>
      </c>
      <c r="G73" s="66">
        <v>346.52499999999998</v>
      </c>
      <c r="H73" s="60">
        <v>15.45</v>
      </c>
      <c r="I73" s="60">
        <f t="shared" ref="I73:I136" si="2">H73*1.2865</f>
        <v>19.876424999999998</v>
      </c>
      <c r="J73" s="60">
        <f t="shared" ref="J73:J136" si="3">G73*I73</f>
        <v>6887.6781731249985</v>
      </c>
    </row>
    <row r="74" spans="1:10" s="10" customFormat="1" ht="15" customHeight="1" x14ac:dyDescent="0.2">
      <c r="A74" s="56" t="s">
        <v>166</v>
      </c>
      <c r="B74" s="56"/>
      <c r="C74" s="56"/>
      <c r="D74" s="56" t="s">
        <v>196</v>
      </c>
      <c r="E74" s="56"/>
      <c r="F74" s="56"/>
      <c r="G74" s="57"/>
      <c r="H74" s="58"/>
      <c r="I74" s="61"/>
      <c r="J74" s="63">
        <f>SUM(J75:J80)</f>
        <v>22719.591157849998</v>
      </c>
    </row>
    <row r="75" spans="1:10" s="10" customFormat="1" ht="37.5" customHeight="1" x14ac:dyDescent="0.2">
      <c r="A75" s="11" t="s">
        <v>390</v>
      </c>
      <c r="B75" s="11" t="s">
        <v>380</v>
      </c>
      <c r="C75" s="11" t="s">
        <v>197</v>
      </c>
      <c r="D75" s="11" t="s">
        <v>470</v>
      </c>
      <c r="E75" s="11" t="s">
        <v>555</v>
      </c>
      <c r="F75" s="6" t="s">
        <v>150</v>
      </c>
      <c r="G75" s="3">
        <v>281.2</v>
      </c>
      <c r="H75" s="60">
        <v>2.4500000000000002</v>
      </c>
      <c r="I75" s="60">
        <f t="shared" si="2"/>
        <v>3.1519250000000003</v>
      </c>
      <c r="J75" s="60">
        <f t="shared" si="3"/>
        <v>886.32131000000004</v>
      </c>
    </row>
    <row r="76" spans="1:10" s="10" customFormat="1" ht="52.5" customHeight="1" x14ac:dyDescent="0.2">
      <c r="A76" s="11" t="s">
        <v>391</v>
      </c>
      <c r="B76" s="11" t="s">
        <v>524</v>
      </c>
      <c r="C76" s="11" t="s">
        <v>197</v>
      </c>
      <c r="D76" s="11" t="s">
        <v>191</v>
      </c>
      <c r="E76" s="11" t="s">
        <v>555</v>
      </c>
      <c r="F76" s="6" t="s">
        <v>150</v>
      </c>
      <c r="G76" s="3">
        <v>281.2</v>
      </c>
      <c r="H76" s="60">
        <v>27.59</v>
      </c>
      <c r="I76" s="60">
        <f t="shared" si="2"/>
        <v>35.494534999999999</v>
      </c>
      <c r="J76" s="60">
        <f t="shared" si="3"/>
        <v>9981.0632420000002</v>
      </c>
    </row>
    <row r="77" spans="1:10" s="10" customFormat="1" ht="15" customHeight="1" x14ac:dyDescent="0.2">
      <c r="A77" s="11" t="s">
        <v>393</v>
      </c>
      <c r="B77" s="11" t="s">
        <v>132</v>
      </c>
      <c r="C77" s="11" t="s">
        <v>197</v>
      </c>
      <c r="D77" s="11" t="s">
        <v>256</v>
      </c>
      <c r="E77" s="11" t="s">
        <v>160</v>
      </c>
      <c r="F77" s="6" t="s">
        <v>150</v>
      </c>
      <c r="G77" s="3">
        <v>281.2</v>
      </c>
      <c r="H77" s="60">
        <v>15.3</v>
      </c>
      <c r="I77" s="60">
        <f t="shared" si="2"/>
        <v>19.683450000000001</v>
      </c>
      <c r="J77" s="60">
        <f t="shared" si="3"/>
        <v>5534.98614</v>
      </c>
    </row>
    <row r="78" spans="1:10" s="10" customFormat="1" ht="22.5" customHeight="1" x14ac:dyDescent="0.2">
      <c r="A78" s="11" t="s">
        <v>394</v>
      </c>
      <c r="B78" s="11" t="s">
        <v>113</v>
      </c>
      <c r="C78" s="11" t="s">
        <v>197</v>
      </c>
      <c r="D78" s="11" t="s">
        <v>505</v>
      </c>
      <c r="E78" s="11" t="s">
        <v>160</v>
      </c>
      <c r="F78" s="6" t="s">
        <v>150</v>
      </c>
      <c r="G78" s="3">
        <v>281.2</v>
      </c>
      <c r="H78" s="60">
        <v>10.26</v>
      </c>
      <c r="I78" s="60">
        <f t="shared" si="2"/>
        <v>13.199489999999999</v>
      </c>
      <c r="J78" s="60">
        <f t="shared" si="3"/>
        <v>3711.6965879999998</v>
      </c>
    </row>
    <row r="79" spans="1:10" s="10" customFormat="1" ht="22.5" customHeight="1" x14ac:dyDescent="0.2">
      <c r="A79" s="11" t="s">
        <v>396</v>
      </c>
      <c r="B79" s="11" t="s">
        <v>19</v>
      </c>
      <c r="C79" s="11" t="s">
        <v>197</v>
      </c>
      <c r="D79" s="11" t="s">
        <v>130</v>
      </c>
      <c r="E79" s="11" t="s">
        <v>160</v>
      </c>
      <c r="F79" s="6" t="s">
        <v>150</v>
      </c>
      <c r="G79" s="3">
        <v>35.21</v>
      </c>
      <c r="H79" s="60">
        <v>15.45</v>
      </c>
      <c r="I79" s="60">
        <f t="shared" si="2"/>
        <v>19.876424999999998</v>
      </c>
      <c r="J79" s="60">
        <f t="shared" si="3"/>
        <v>699.84892424999998</v>
      </c>
    </row>
    <row r="80" spans="1:10" s="10" customFormat="1" ht="37.5" customHeight="1" x14ac:dyDescent="0.2">
      <c r="A80" s="11" t="s">
        <v>397</v>
      </c>
      <c r="B80" s="11" t="s">
        <v>537</v>
      </c>
      <c r="C80" s="11" t="s">
        <v>197</v>
      </c>
      <c r="D80" s="11" t="s">
        <v>526</v>
      </c>
      <c r="E80" s="11" t="s">
        <v>555</v>
      </c>
      <c r="F80" s="6" t="s">
        <v>150</v>
      </c>
      <c r="G80" s="3">
        <v>23.32</v>
      </c>
      <c r="H80" s="60">
        <v>63.52</v>
      </c>
      <c r="I80" s="60">
        <f t="shared" si="2"/>
        <v>81.71848</v>
      </c>
      <c r="J80" s="60">
        <f t="shared" si="3"/>
        <v>1905.6749536</v>
      </c>
    </row>
    <row r="81" spans="1:10" s="10" customFormat="1" ht="15" customHeight="1" x14ac:dyDescent="0.2">
      <c r="A81" s="56" t="s">
        <v>167</v>
      </c>
      <c r="B81" s="56"/>
      <c r="C81" s="56"/>
      <c r="D81" s="56" t="s">
        <v>81</v>
      </c>
      <c r="E81" s="56"/>
      <c r="F81" s="56"/>
      <c r="G81" s="57"/>
      <c r="H81" s="58"/>
      <c r="I81" s="62"/>
      <c r="J81" s="63">
        <f>SUM(J82:J84)</f>
        <v>2268.3470225999999</v>
      </c>
    </row>
    <row r="82" spans="1:10" s="10" customFormat="1" ht="37.5" customHeight="1" x14ac:dyDescent="0.2">
      <c r="A82" s="11" t="s">
        <v>328</v>
      </c>
      <c r="B82" s="11" t="s">
        <v>380</v>
      </c>
      <c r="C82" s="11" t="s">
        <v>197</v>
      </c>
      <c r="D82" s="11" t="s">
        <v>470</v>
      </c>
      <c r="E82" s="11" t="s">
        <v>555</v>
      </c>
      <c r="F82" s="6" t="s">
        <v>150</v>
      </c>
      <c r="G82" s="3">
        <v>38.76</v>
      </c>
      <c r="H82" s="60">
        <v>2.4500000000000002</v>
      </c>
      <c r="I82" s="60">
        <f t="shared" si="2"/>
        <v>3.1519250000000003</v>
      </c>
      <c r="J82" s="60">
        <f t="shared" si="3"/>
        <v>122.16861300000001</v>
      </c>
    </row>
    <row r="83" spans="1:10" s="10" customFormat="1" ht="52.5" customHeight="1" x14ac:dyDescent="0.2">
      <c r="A83" s="11" t="s">
        <v>329</v>
      </c>
      <c r="B83" s="11" t="s">
        <v>524</v>
      </c>
      <c r="C83" s="11" t="s">
        <v>197</v>
      </c>
      <c r="D83" s="11" t="s">
        <v>191</v>
      </c>
      <c r="E83" s="11" t="s">
        <v>555</v>
      </c>
      <c r="F83" s="6" t="s">
        <v>150</v>
      </c>
      <c r="G83" s="3">
        <v>38.76</v>
      </c>
      <c r="H83" s="60">
        <v>27.59</v>
      </c>
      <c r="I83" s="60">
        <f t="shared" si="2"/>
        <v>35.494534999999999</v>
      </c>
      <c r="J83" s="60">
        <f t="shared" si="3"/>
        <v>1375.7681765999998</v>
      </c>
    </row>
    <row r="84" spans="1:10" s="10" customFormat="1" ht="22.5" customHeight="1" x14ac:dyDescent="0.2">
      <c r="A84" s="11" t="s">
        <v>331</v>
      </c>
      <c r="B84" s="11" t="s">
        <v>19</v>
      </c>
      <c r="C84" s="11" t="s">
        <v>197</v>
      </c>
      <c r="D84" s="11" t="s">
        <v>130</v>
      </c>
      <c r="E84" s="11" t="s">
        <v>160</v>
      </c>
      <c r="F84" s="6" t="s">
        <v>150</v>
      </c>
      <c r="G84" s="3">
        <v>38.76</v>
      </c>
      <c r="H84" s="60">
        <v>15.45</v>
      </c>
      <c r="I84" s="60">
        <f t="shared" si="2"/>
        <v>19.876424999999998</v>
      </c>
      <c r="J84" s="60">
        <f t="shared" si="3"/>
        <v>770.41023299999983</v>
      </c>
    </row>
    <row r="85" spans="1:10" s="10" customFormat="1" ht="15" customHeight="1" x14ac:dyDescent="0.2">
      <c r="A85" s="56" t="s">
        <v>39</v>
      </c>
      <c r="B85" s="56"/>
      <c r="C85" s="56"/>
      <c r="D85" s="56" t="s">
        <v>506</v>
      </c>
      <c r="E85" s="56"/>
      <c r="F85" s="56"/>
      <c r="G85" s="57"/>
      <c r="H85" s="58"/>
      <c r="I85" s="61"/>
      <c r="J85" s="61"/>
    </row>
    <row r="86" spans="1:10" s="10" customFormat="1" ht="15" customHeight="1" x14ac:dyDescent="0.2">
      <c r="A86" s="56" t="s">
        <v>91</v>
      </c>
      <c r="B86" s="56"/>
      <c r="C86" s="56"/>
      <c r="D86" s="56" t="s">
        <v>534</v>
      </c>
      <c r="E86" s="56"/>
      <c r="F86" s="56"/>
      <c r="G86" s="57"/>
      <c r="H86" s="58"/>
      <c r="I86" s="61"/>
      <c r="J86" s="63">
        <f>SUM(J87:J94)</f>
        <v>17747.0148314</v>
      </c>
    </row>
    <row r="87" spans="1:10" s="10" customFormat="1" ht="22.5" customHeight="1" x14ac:dyDescent="0.2">
      <c r="A87" s="11" t="s">
        <v>120</v>
      </c>
      <c r="B87" s="11" t="s">
        <v>493</v>
      </c>
      <c r="C87" s="11" t="s">
        <v>197</v>
      </c>
      <c r="D87" s="11" t="s">
        <v>12</v>
      </c>
      <c r="E87" s="11" t="s">
        <v>530</v>
      </c>
      <c r="F87" s="6" t="s">
        <v>284</v>
      </c>
      <c r="G87" s="3">
        <v>6</v>
      </c>
      <c r="H87" s="60">
        <v>443.49</v>
      </c>
      <c r="I87" s="60">
        <f t="shared" si="2"/>
        <v>570.54988500000002</v>
      </c>
      <c r="J87" s="60">
        <f t="shared" si="3"/>
        <v>3423.2993100000003</v>
      </c>
    </row>
    <row r="88" spans="1:10" s="10" customFormat="1" ht="30" customHeight="1" x14ac:dyDescent="0.2">
      <c r="A88" s="11" t="s">
        <v>122</v>
      </c>
      <c r="B88" s="11" t="s">
        <v>494</v>
      </c>
      <c r="C88" s="11" t="s">
        <v>197</v>
      </c>
      <c r="D88" s="11" t="s">
        <v>11</v>
      </c>
      <c r="E88" s="11" t="s">
        <v>530</v>
      </c>
      <c r="F88" s="6" t="s">
        <v>284</v>
      </c>
      <c r="G88" s="3">
        <v>12</v>
      </c>
      <c r="H88" s="60">
        <v>527.58000000000004</v>
      </c>
      <c r="I88" s="60">
        <f t="shared" si="2"/>
        <v>678.73167000000001</v>
      </c>
      <c r="J88" s="60">
        <f t="shared" si="3"/>
        <v>8144.7800399999996</v>
      </c>
    </row>
    <row r="89" spans="1:10" s="10" customFormat="1" ht="22.5" customHeight="1" x14ac:dyDescent="0.2">
      <c r="A89" s="11" t="s">
        <v>123</v>
      </c>
      <c r="B89" s="11" t="s">
        <v>593</v>
      </c>
      <c r="C89" s="11" t="s">
        <v>344</v>
      </c>
      <c r="D89" s="11" t="s">
        <v>502</v>
      </c>
      <c r="E89" s="11" t="s">
        <v>408</v>
      </c>
      <c r="F89" s="6" t="s">
        <v>244</v>
      </c>
      <c r="G89" s="3">
        <v>1</v>
      </c>
      <c r="H89" s="60">
        <v>434.83</v>
      </c>
      <c r="I89" s="60">
        <f t="shared" si="2"/>
        <v>559.40879499999994</v>
      </c>
      <c r="J89" s="60">
        <f t="shared" si="3"/>
        <v>559.40879499999994</v>
      </c>
    </row>
    <row r="90" spans="1:10" s="10" customFormat="1" ht="22.5" customHeight="1" x14ac:dyDescent="0.2">
      <c r="A90" s="11" t="s">
        <v>124</v>
      </c>
      <c r="B90" s="11" t="s">
        <v>40</v>
      </c>
      <c r="C90" s="11" t="s">
        <v>197</v>
      </c>
      <c r="D90" s="11" t="s">
        <v>266</v>
      </c>
      <c r="E90" s="11" t="s">
        <v>530</v>
      </c>
      <c r="F90" s="6" t="s">
        <v>284</v>
      </c>
      <c r="G90" s="3">
        <v>19</v>
      </c>
      <c r="H90" s="60">
        <v>69.150000000000006</v>
      </c>
      <c r="I90" s="60">
        <f t="shared" si="2"/>
        <v>88.961475000000007</v>
      </c>
      <c r="J90" s="60">
        <f t="shared" si="3"/>
        <v>1690.2680250000001</v>
      </c>
    </row>
    <row r="91" spans="1:10" s="10" customFormat="1" ht="52.5" customHeight="1" x14ac:dyDescent="0.2">
      <c r="A91" s="11" t="s">
        <v>125</v>
      </c>
      <c r="B91" s="11" t="s">
        <v>205</v>
      </c>
      <c r="C91" s="11" t="s">
        <v>197</v>
      </c>
      <c r="D91" s="11" t="s">
        <v>382</v>
      </c>
      <c r="E91" s="11" t="s">
        <v>530</v>
      </c>
      <c r="F91" s="6" t="s">
        <v>284</v>
      </c>
      <c r="G91" s="3">
        <v>1</v>
      </c>
      <c r="H91" s="60">
        <v>555.83000000000004</v>
      </c>
      <c r="I91" s="60">
        <f t="shared" si="2"/>
        <v>715.0752950000001</v>
      </c>
      <c r="J91" s="60">
        <f t="shared" si="3"/>
        <v>715.0752950000001</v>
      </c>
    </row>
    <row r="92" spans="1:10" s="10" customFormat="1" ht="52.5" customHeight="1" x14ac:dyDescent="0.2">
      <c r="A92" s="11" t="s">
        <v>127</v>
      </c>
      <c r="B92" s="11" t="s">
        <v>206</v>
      </c>
      <c r="C92" s="11" t="s">
        <v>197</v>
      </c>
      <c r="D92" s="11" t="s">
        <v>48</v>
      </c>
      <c r="E92" s="11" t="s">
        <v>530</v>
      </c>
      <c r="F92" s="6" t="s">
        <v>284</v>
      </c>
      <c r="G92" s="3">
        <v>1</v>
      </c>
      <c r="H92" s="60">
        <v>582.32000000000005</v>
      </c>
      <c r="I92" s="60">
        <f t="shared" si="2"/>
        <v>749.1546800000001</v>
      </c>
      <c r="J92" s="60">
        <f t="shared" si="3"/>
        <v>749.1546800000001</v>
      </c>
    </row>
    <row r="93" spans="1:10" s="10" customFormat="1" ht="30" customHeight="1" x14ac:dyDescent="0.2">
      <c r="A93" s="11" t="s">
        <v>128</v>
      </c>
      <c r="B93" s="11" t="s">
        <v>334</v>
      </c>
      <c r="C93" s="11" t="s">
        <v>344</v>
      </c>
      <c r="D93" s="11" t="s">
        <v>223</v>
      </c>
      <c r="E93" s="11" t="s">
        <v>94</v>
      </c>
      <c r="F93" s="6" t="s">
        <v>244</v>
      </c>
      <c r="G93" s="3">
        <v>1</v>
      </c>
      <c r="H93" s="60">
        <v>774.06</v>
      </c>
      <c r="I93" s="60">
        <f t="shared" si="2"/>
        <v>995.82818999999995</v>
      </c>
      <c r="J93" s="60">
        <f t="shared" si="3"/>
        <v>995.82818999999995</v>
      </c>
    </row>
    <row r="94" spans="1:10" s="10" customFormat="1" ht="22.5" customHeight="1" x14ac:dyDescent="0.2">
      <c r="A94" s="11" t="s">
        <v>129</v>
      </c>
      <c r="B94" s="11" t="s">
        <v>444</v>
      </c>
      <c r="C94" s="11" t="s">
        <v>197</v>
      </c>
      <c r="D94" s="11" t="s">
        <v>423</v>
      </c>
      <c r="E94" s="11" t="s">
        <v>160</v>
      </c>
      <c r="F94" s="6" t="s">
        <v>150</v>
      </c>
      <c r="G94" s="3">
        <v>69.720000000000013</v>
      </c>
      <c r="H94" s="60">
        <v>16.38</v>
      </c>
      <c r="I94" s="60">
        <f t="shared" si="2"/>
        <v>21.072869999999998</v>
      </c>
      <c r="J94" s="60">
        <f t="shared" si="3"/>
        <v>1469.2004964000002</v>
      </c>
    </row>
    <row r="95" spans="1:10" s="10" customFormat="1" ht="15" customHeight="1" x14ac:dyDescent="0.2">
      <c r="A95" s="56" t="s">
        <v>92</v>
      </c>
      <c r="B95" s="56"/>
      <c r="C95" s="56"/>
      <c r="D95" s="56" t="s">
        <v>248</v>
      </c>
      <c r="E95" s="56"/>
      <c r="F95" s="56"/>
      <c r="G95" s="57"/>
      <c r="H95" s="58"/>
      <c r="I95" s="61"/>
      <c r="J95" s="63">
        <f>SUM(J96:J99)</f>
        <v>20434.738340249998</v>
      </c>
    </row>
    <row r="96" spans="1:10" s="10" customFormat="1" ht="15" customHeight="1" x14ac:dyDescent="0.2">
      <c r="A96" s="11" t="s">
        <v>49</v>
      </c>
      <c r="B96" s="11" t="s">
        <v>338</v>
      </c>
      <c r="C96" s="11" t="s">
        <v>197</v>
      </c>
      <c r="D96" s="11" t="s">
        <v>287</v>
      </c>
      <c r="E96" s="11" t="s">
        <v>530</v>
      </c>
      <c r="F96" s="6" t="s">
        <v>150</v>
      </c>
      <c r="G96" s="3">
        <v>28.36</v>
      </c>
      <c r="H96" s="60">
        <v>278.14</v>
      </c>
      <c r="I96" s="60">
        <f t="shared" si="2"/>
        <v>357.82710999999995</v>
      </c>
      <c r="J96" s="60">
        <f t="shared" si="3"/>
        <v>10147.976839599998</v>
      </c>
    </row>
    <row r="97" spans="1:10" s="10" customFormat="1" ht="30" customHeight="1" x14ac:dyDescent="0.2">
      <c r="A97" s="11" t="s">
        <v>50</v>
      </c>
      <c r="B97" s="11" t="s">
        <v>246</v>
      </c>
      <c r="C97" s="11" t="s">
        <v>344</v>
      </c>
      <c r="D97" s="11" t="s">
        <v>309</v>
      </c>
      <c r="E97" s="11" t="s">
        <v>143</v>
      </c>
      <c r="F97" s="6" t="s">
        <v>150</v>
      </c>
      <c r="G97" s="3">
        <v>1.6</v>
      </c>
      <c r="H97" s="60">
        <v>305.29000000000002</v>
      </c>
      <c r="I97" s="60">
        <f t="shared" si="2"/>
        <v>392.755585</v>
      </c>
      <c r="J97" s="60">
        <f t="shared" si="3"/>
        <v>628.40893600000004</v>
      </c>
    </row>
    <row r="98" spans="1:10" s="10" customFormat="1" ht="15" customHeight="1" x14ac:dyDescent="0.2">
      <c r="A98" s="11" t="s">
        <v>52</v>
      </c>
      <c r="B98" s="11" t="s">
        <v>209</v>
      </c>
      <c r="C98" s="11" t="s">
        <v>197</v>
      </c>
      <c r="D98" s="11" t="s">
        <v>522</v>
      </c>
      <c r="E98" s="11" t="s">
        <v>530</v>
      </c>
      <c r="F98" s="6" t="s">
        <v>150</v>
      </c>
      <c r="G98" s="3">
        <v>12.43</v>
      </c>
      <c r="H98" s="60">
        <v>590.87</v>
      </c>
      <c r="I98" s="60">
        <f t="shared" si="2"/>
        <v>760.15425500000003</v>
      </c>
      <c r="J98" s="60">
        <f t="shared" si="3"/>
        <v>9448.7173896500008</v>
      </c>
    </row>
    <row r="99" spans="1:10" s="10" customFormat="1" ht="37.5" customHeight="1" x14ac:dyDescent="0.2">
      <c r="A99" s="11" t="s">
        <v>53</v>
      </c>
      <c r="B99" s="11" t="s">
        <v>355</v>
      </c>
      <c r="C99" s="11" t="s">
        <v>344</v>
      </c>
      <c r="D99" s="11" t="s">
        <v>263</v>
      </c>
      <c r="E99" s="11" t="s">
        <v>599</v>
      </c>
      <c r="F99" s="6" t="s">
        <v>244</v>
      </c>
      <c r="G99" s="3">
        <v>1</v>
      </c>
      <c r="H99" s="60">
        <v>162.94999999999999</v>
      </c>
      <c r="I99" s="60">
        <f t="shared" si="2"/>
        <v>209.63517499999998</v>
      </c>
      <c r="J99" s="60">
        <f t="shared" si="3"/>
        <v>209.63517499999998</v>
      </c>
    </row>
    <row r="100" spans="1:10" s="10" customFormat="1" ht="15" customHeight="1" x14ac:dyDescent="0.2">
      <c r="A100" s="56" t="s">
        <v>93</v>
      </c>
      <c r="B100" s="56"/>
      <c r="C100" s="56"/>
      <c r="D100" s="56" t="s">
        <v>281</v>
      </c>
      <c r="E100" s="56"/>
      <c r="F100" s="56"/>
      <c r="G100" s="57"/>
      <c r="H100" s="58"/>
      <c r="I100" s="61"/>
      <c r="J100" s="63">
        <f>SUM(J101:J103)</f>
        <v>9777.3432653499985</v>
      </c>
    </row>
    <row r="101" spans="1:10" s="10" customFormat="1" ht="22.5" customHeight="1" x14ac:dyDescent="0.2">
      <c r="A101" s="11" t="s">
        <v>559</v>
      </c>
      <c r="B101" s="11" t="s">
        <v>42</v>
      </c>
      <c r="C101" s="11" t="s">
        <v>197</v>
      </c>
      <c r="D101" s="11" t="s">
        <v>452</v>
      </c>
      <c r="E101" s="11" t="s">
        <v>530</v>
      </c>
      <c r="F101" s="6" t="s">
        <v>150</v>
      </c>
      <c r="G101" s="3">
        <v>17.43</v>
      </c>
      <c r="H101" s="60">
        <v>230.45</v>
      </c>
      <c r="I101" s="60">
        <f t="shared" si="2"/>
        <v>296.47392500000001</v>
      </c>
      <c r="J101" s="60">
        <f t="shared" si="3"/>
        <v>5167.5405127499998</v>
      </c>
    </row>
    <row r="102" spans="1:10" s="10" customFormat="1" ht="15" customHeight="1" x14ac:dyDescent="0.2">
      <c r="A102" s="11" t="s">
        <v>560</v>
      </c>
      <c r="B102" s="11" t="s">
        <v>17</v>
      </c>
      <c r="C102" s="11" t="s">
        <v>197</v>
      </c>
      <c r="D102" s="11" t="s">
        <v>292</v>
      </c>
      <c r="E102" s="11" t="s">
        <v>530</v>
      </c>
      <c r="F102" s="6" t="s">
        <v>150</v>
      </c>
      <c r="G102" s="3">
        <v>29.24</v>
      </c>
      <c r="H102" s="60">
        <v>91.47</v>
      </c>
      <c r="I102" s="60">
        <f t="shared" si="2"/>
        <v>117.67615499999999</v>
      </c>
      <c r="J102" s="60">
        <f t="shared" si="3"/>
        <v>3440.8507721999995</v>
      </c>
    </row>
    <row r="103" spans="1:10" s="10" customFormat="1" ht="15" customHeight="1" x14ac:dyDescent="0.2">
      <c r="A103" s="11" t="s">
        <v>563</v>
      </c>
      <c r="B103" s="11" t="s">
        <v>267</v>
      </c>
      <c r="C103" s="11" t="s">
        <v>197</v>
      </c>
      <c r="D103" s="11" t="s">
        <v>590</v>
      </c>
      <c r="E103" s="11" t="s">
        <v>530</v>
      </c>
      <c r="F103" s="6" t="s">
        <v>150</v>
      </c>
      <c r="G103" s="3">
        <v>2.84</v>
      </c>
      <c r="H103" s="60">
        <v>319.94</v>
      </c>
      <c r="I103" s="60">
        <f t="shared" si="2"/>
        <v>411.60280999999998</v>
      </c>
      <c r="J103" s="60">
        <f t="shared" si="3"/>
        <v>1168.9519803999999</v>
      </c>
    </row>
    <row r="104" spans="1:10" s="10" customFormat="1" ht="15" customHeight="1" x14ac:dyDescent="0.2">
      <c r="A104" s="56" t="s">
        <v>43</v>
      </c>
      <c r="B104" s="56"/>
      <c r="C104" s="56"/>
      <c r="D104" s="56" t="s">
        <v>508</v>
      </c>
      <c r="E104" s="56"/>
      <c r="F104" s="56"/>
      <c r="G104" s="57"/>
      <c r="H104" s="58"/>
      <c r="I104" s="61"/>
      <c r="J104" s="61"/>
    </row>
    <row r="105" spans="1:10" s="10" customFormat="1" ht="15" customHeight="1" x14ac:dyDescent="0.2">
      <c r="A105" s="56" t="s">
        <v>610</v>
      </c>
      <c r="B105" s="56"/>
      <c r="C105" s="56"/>
      <c r="D105" s="56" t="s">
        <v>536</v>
      </c>
      <c r="E105" s="56"/>
      <c r="F105" s="56"/>
      <c r="G105" s="57"/>
      <c r="H105" s="58"/>
      <c r="I105" s="61"/>
      <c r="J105" s="63">
        <f>SUM(J106)</f>
        <v>1658.1827150000001</v>
      </c>
    </row>
    <row r="106" spans="1:10" s="10" customFormat="1" ht="15" customHeight="1" x14ac:dyDescent="0.2">
      <c r="A106" s="11" t="s">
        <v>290</v>
      </c>
      <c r="B106" s="11" t="s">
        <v>247</v>
      </c>
      <c r="C106" s="11" t="s">
        <v>344</v>
      </c>
      <c r="D106" s="11" t="s">
        <v>478</v>
      </c>
      <c r="E106" s="11" t="s">
        <v>285</v>
      </c>
      <c r="F106" s="6" t="s">
        <v>244</v>
      </c>
      <c r="G106" s="66">
        <v>1</v>
      </c>
      <c r="H106" s="60">
        <v>1288.9100000000001</v>
      </c>
      <c r="I106" s="60">
        <f t="shared" si="2"/>
        <v>1658.1827150000001</v>
      </c>
      <c r="J106" s="60">
        <f t="shared" si="3"/>
        <v>1658.1827150000001</v>
      </c>
    </row>
    <row r="107" spans="1:10" s="10" customFormat="1" ht="15" customHeight="1" x14ac:dyDescent="0.2">
      <c r="A107" s="56" t="s">
        <v>1</v>
      </c>
      <c r="B107" s="56"/>
      <c r="C107" s="56"/>
      <c r="D107" s="56" t="s">
        <v>498</v>
      </c>
      <c r="E107" s="56"/>
      <c r="F107" s="56"/>
      <c r="G107" s="67"/>
      <c r="H107" s="58"/>
      <c r="I107" s="61"/>
      <c r="J107" s="63">
        <f>SUM(J108:J120)</f>
        <v>30928.990934999998</v>
      </c>
    </row>
    <row r="108" spans="1:10" s="10" customFormat="1" ht="22.5" customHeight="1" x14ac:dyDescent="0.2">
      <c r="A108" s="11" t="s">
        <v>213</v>
      </c>
      <c r="B108" s="11" t="s">
        <v>200</v>
      </c>
      <c r="C108" s="11" t="s">
        <v>197</v>
      </c>
      <c r="D108" s="11" t="s">
        <v>339</v>
      </c>
      <c r="E108" s="11" t="s">
        <v>424</v>
      </c>
      <c r="F108" s="6" t="s">
        <v>284</v>
      </c>
      <c r="G108" s="66">
        <v>37</v>
      </c>
      <c r="H108" s="60">
        <v>80.569999999999993</v>
      </c>
      <c r="I108" s="60">
        <f t="shared" si="2"/>
        <v>103.65330499999999</v>
      </c>
      <c r="J108" s="60">
        <f t="shared" si="3"/>
        <v>3835.1722849999996</v>
      </c>
    </row>
    <row r="109" spans="1:10" s="10" customFormat="1" ht="22.5" customHeight="1" x14ac:dyDescent="0.2">
      <c r="A109" s="11" t="s">
        <v>214</v>
      </c>
      <c r="B109" s="11" t="s">
        <v>199</v>
      </c>
      <c r="C109" s="11" t="s">
        <v>197</v>
      </c>
      <c r="D109" s="11" t="s">
        <v>554</v>
      </c>
      <c r="E109" s="11" t="s">
        <v>424</v>
      </c>
      <c r="F109" s="6" t="s">
        <v>284</v>
      </c>
      <c r="G109" s="66">
        <v>8</v>
      </c>
      <c r="H109" s="60">
        <v>60.34</v>
      </c>
      <c r="I109" s="60">
        <f t="shared" si="2"/>
        <v>77.627409999999998</v>
      </c>
      <c r="J109" s="60">
        <f t="shared" si="3"/>
        <v>621.01927999999998</v>
      </c>
    </row>
    <row r="110" spans="1:10" s="10" customFormat="1" ht="22.5" customHeight="1" x14ac:dyDescent="0.2">
      <c r="A110" s="11" t="s">
        <v>215</v>
      </c>
      <c r="B110" s="11" t="s">
        <v>592</v>
      </c>
      <c r="C110" s="11" t="s">
        <v>197</v>
      </c>
      <c r="D110" s="11" t="s">
        <v>416</v>
      </c>
      <c r="E110" s="11" t="s">
        <v>424</v>
      </c>
      <c r="F110" s="6" t="s">
        <v>284</v>
      </c>
      <c r="G110" s="66">
        <v>18</v>
      </c>
      <c r="H110" s="60">
        <v>81</v>
      </c>
      <c r="I110" s="60">
        <f t="shared" si="2"/>
        <v>104.20649999999999</v>
      </c>
      <c r="J110" s="60">
        <f t="shared" si="3"/>
        <v>1875.7169999999999</v>
      </c>
    </row>
    <row r="111" spans="1:10" s="10" customFormat="1" ht="15" customHeight="1" x14ac:dyDescent="0.2">
      <c r="A111" s="11" t="s">
        <v>217</v>
      </c>
      <c r="B111" s="11" t="s">
        <v>231</v>
      </c>
      <c r="C111" s="11" t="s">
        <v>197</v>
      </c>
      <c r="D111" s="11" t="s">
        <v>581</v>
      </c>
      <c r="E111" s="11" t="s">
        <v>424</v>
      </c>
      <c r="F111" s="6" t="s">
        <v>284</v>
      </c>
      <c r="G111" s="66">
        <v>3</v>
      </c>
      <c r="H111" s="60">
        <v>37.799999999999997</v>
      </c>
      <c r="I111" s="60">
        <f t="shared" si="2"/>
        <v>48.629699999999993</v>
      </c>
      <c r="J111" s="60">
        <f t="shared" si="3"/>
        <v>145.88909999999998</v>
      </c>
    </row>
    <row r="112" spans="1:10" s="10" customFormat="1" ht="30" customHeight="1" x14ac:dyDescent="0.2">
      <c r="A112" s="11" t="s">
        <v>219</v>
      </c>
      <c r="B112" s="11" t="s">
        <v>426</v>
      </c>
      <c r="C112" s="11" t="s">
        <v>344</v>
      </c>
      <c r="D112" s="11" t="s">
        <v>481</v>
      </c>
      <c r="E112" s="11" t="s">
        <v>408</v>
      </c>
      <c r="F112" s="6" t="s">
        <v>244</v>
      </c>
      <c r="G112" s="66">
        <v>2</v>
      </c>
      <c r="H112" s="60">
        <v>462.98</v>
      </c>
      <c r="I112" s="60">
        <f t="shared" si="2"/>
        <v>595.62377000000004</v>
      </c>
      <c r="J112" s="60">
        <f t="shared" si="3"/>
        <v>1191.2475400000001</v>
      </c>
    </row>
    <row r="113" spans="1:10" s="10" customFormat="1" ht="22.5" customHeight="1" x14ac:dyDescent="0.2">
      <c r="A113" s="11" t="s">
        <v>221</v>
      </c>
      <c r="B113" s="11" t="s">
        <v>180</v>
      </c>
      <c r="C113" s="11" t="s">
        <v>197</v>
      </c>
      <c r="D113" s="11" t="s">
        <v>474</v>
      </c>
      <c r="E113" s="11" t="s">
        <v>424</v>
      </c>
      <c r="F113" s="6" t="s">
        <v>284</v>
      </c>
      <c r="G113" s="66">
        <v>2</v>
      </c>
      <c r="H113" s="60">
        <v>28.6</v>
      </c>
      <c r="I113" s="60">
        <f t="shared" si="2"/>
        <v>36.793900000000001</v>
      </c>
      <c r="J113" s="60">
        <f t="shared" si="3"/>
        <v>73.587800000000001</v>
      </c>
    </row>
    <row r="114" spans="1:10" s="10" customFormat="1" ht="37.5" customHeight="1" x14ac:dyDescent="0.2">
      <c r="A114" s="11" t="s">
        <v>222</v>
      </c>
      <c r="B114" s="11" t="s">
        <v>383</v>
      </c>
      <c r="C114" s="11" t="s">
        <v>197</v>
      </c>
      <c r="D114" s="11" t="s">
        <v>108</v>
      </c>
      <c r="E114" s="11" t="s">
        <v>424</v>
      </c>
      <c r="F114" s="6" t="s">
        <v>284</v>
      </c>
      <c r="G114" s="66">
        <v>68</v>
      </c>
      <c r="H114" s="60">
        <v>96.61</v>
      </c>
      <c r="I114" s="60">
        <f t="shared" si="2"/>
        <v>124.288765</v>
      </c>
      <c r="J114" s="60">
        <f t="shared" si="3"/>
        <v>8451.6360199999999</v>
      </c>
    </row>
    <row r="115" spans="1:10" s="10" customFormat="1" ht="30" customHeight="1" x14ac:dyDescent="0.2">
      <c r="A115" s="11" t="s">
        <v>224</v>
      </c>
      <c r="B115" s="11" t="s">
        <v>411</v>
      </c>
      <c r="C115" s="11" t="s">
        <v>197</v>
      </c>
      <c r="D115" s="11" t="s">
        <v>484</v>
      </c>
      <c r="E115" s="11" t="s">
        <v>424</v>
      </c>
      <c r="F115" s="6" t="s">
        <v>284</v>
      </c>
      <c r="G115" s="66">
        <v>61</v>
      </c>
      <c r="H115" s="60">
        <v>118.17</v>
      </c>
      <c r="I115" s="60">
        <f t="shared" si="2"/>
        <v>152.02570499999999</v>
      </c>
      <c r="J115" s="60">
        <f t="shared" si="3"/>
        <v>9273.5680049999992</v>
      </c>
    </row>
    <row r="116" spans="1:10" s="10" customFormat="1" ht="37.5" customHeight="1" x14ac:dyDescent="0.2">
      <c r="A116" s="11" t="s">
        <v>225</v>
      </c>
      <c r="B116" s="11" t="s">
        <v>383</v>
      </c>
      <c r="C116" s="11" t="s">
        <v>197</v>
      </c>
      <c r="D116" s="11" t="s">
        <v>108</v>
      </c>
      <c r="E116" s="11" t="s">
        <v>424</v>
      </c>
      <c r="F116" s="6" t="s">
        <v>284</v>
      </c>
      <c r="G116" s="66">
        <v>15</v>
      </c>
      <c r="H116" s="60">
        <v>96.61</v>
      </c>
      <c r="I116" s="60">
        <f t="shared" si="2"/>
        <v>124.288765</v>
      </c>
      <c r="J116" s="60">
        <f t="shared" si="3"/>
        <v>1864.331475</v>
      </c>
    </row>
    <row r="117" spans="1:10" s="10" customFormat="1" ht="37.5" customHeight="1" x14ac:dyDescent="0.2">
      <c r="A117" s="11" t="s">
        <v>310</v>
      </c>
      <c r="B117" s="11" t="s">
        <v>402</v>
      </c>
      <c r="C117" s="11" t="s">
        <v>197</v>
      </c>
      <c r="D117" s="11" t="s">
        <v>264</v>
      </c>
      <c r="E117" s="11" t="s">
        <v>424</v>
      </c>
      <c r="F117" s="6" t="s">
        <v>284</v>
      </c>
      <c r="G117" s="66">
        <v>9</v>
      </c>
      <c r="H117" s="60">
        <v>114.11</v>
      </c>
      <c r="I117" s="60">
        <f t="shared" si="2"/>
        <v>146.802515</v>
      </c>
      <c r="J117" s="60">
        <f t="shared" si="3"/>
        <v>1321.2226350000001</v>
      </c>
    </row>
    <row r="118" spans="1:10" s="10" customFormat="1" ht="22.5" customHeight="1" x14ac:dyDescent="0.2">
      <c r="A118" s="11" t="s">
        <v>311</v>
      </c>
      <c r="B118" s="11" t="s">
        <v>392</v>
      </c>
      <c r="C118" s="11" t="s">
        <v>344</v>
      </c>
      <c r="D118" s="11" t="s">
        <v>466</v>
      </c>
      <c r="E118" s="11" t="s">
        <v>408</v>
      </c>
      <c r="F118" s="6" t="s">
        <v>162</v>
      </c>
      <c r="G118" s="66">
        <v>3</v>
      </c>
      <c r="H118" s="60">
        <v>126.19</v>
      </c>
      <c r="I118" s="60">
        <f t="shared" si="2"/>
        <v>162.343435</v>
      </c>
      <c r="J118" s="60">
        <f t="shared" si="3"/>
        <v>487.030305</v>
      </c>
    </row>
    <row r="119" spans="1:10" s="10" customFormat="1" ht="37.5" customHeight="1" x14ac:dyDescent="0.2">
      <c r="A119" s="11" t="s">
        <v>312</v>
      </c>
      <c r="B119" s="11" t="s">
        <v>403</v>
      </c>
      <c r="C119" s="11" t="s">
        <v>197</v>
      </c>
      <c r="D119" s="11" t="s">
        <v>608</v>
      </c>
      <c r="E119" s="11" t="s">
        <v>424</v>
      </c>
      <c r="F119" s="6" t="s">
        <v>284</v>
      </c>
      <c r="G119" s="66">
        <v>2</v>
      </c>
      <c r="H119" s="60">
        <v>107.79</v>
      </c>
      <c r="I119" s="60">
        <f t="shared" si="2"/>
        <v>138.67183500000002</v>
      </c>
      <c r="J119" s="60">
        <f t="shared" si="3"/>
        <v>277.34367000000003</v>
      </c>
    </row>
    <row r="120" spans="1:10" s="10" customFormat="1" ht="33.75" x14ac:dyDescent="0.2">
      <c r="A120" s="11" t="s">
        <v>313</v>
      </c>
      <c r="B120" s="11" t="s">
        <v>410</v>
      </c>
      <c r="C120" s="11" t="s">
        <v>197</v>
      </c>
      <c r="D120" s="11" t="s">
        <v>333</v>
      </c>
      <c r="E120" s="11" t="s">
        <v>424</v>
      </c>
      <c r="F120" s="6" t="s">
        <v>284</v>
      </c>
      <c r="G120" s="66">
        <v>9</v>
      </c>
      <c r="H120" s="60">
        <v>130.52000000000001</v>
      </c>
      <c r="I120" s="60">
        <f t="shared" si="2"/>
        <v>167.91398000000001</v>
      </c>
      <c r="J120" s="60">
        <f t="shared" si="3"/>
        <v>1511.2258200000001</v>
      </c>
    </row>
    <row r="121" spans="1:10" s="10" customFormat="1" ht="15" customHeight="1" x14ac:dyDescent="0.2">
      <c r="A121" s="56" t="s">
        <v>3</v>
      </c>
      <c r="B121" s="56"/>
      <c r="C121" s="56"/>
      <c r="D121" s="56" t="s">
        <v>253</v>
      </c>
      <c r="E121" s="56"/>
      <c r="F121" s="56"/>
      <c r="G121" s="67"/>
      <c r="H121" s="59"/>
      <c r="I121" s="62"/>
      <c r="J121" s="63">
        <f>SUM(J122:J125)</f>
        <v>1293.85878</v>
      </c>
    </row>
    <row r="122" spans="1:10" s="10" customFormat="1" ht="37.5" customHeight="1" x14ac:dyDescent="0.2">
      <c r="A122" s="11" t="s">
        <v>135</v>
      </c>
      <c r="B122" s="11" t="s">
        <v>350</v>
      </c>
      <c r="C122" s="11" t="s">
        <v>197</v>
      </c>
      <c r="D122" s="11" t="s">
        <v>476</v>
      </c>
      <c r="E122" s="11" t="s">
        <v>424</v>
      </c>
      <c r="F122" s="6" t="s">
        <v>284</v>
      </c>
      <c r="G122" s="66">
        <v>1</v>
      </c>
      <c r="H122" s="60">
        <v>324.39</v>
      </c>
      <c r="I122" s="60">
        <f t="shared" si="2"/>
        <v>417.32773499999996</v>
      </c>
      <c r="J122" s="60">
        <f t="shared" si="3"/>
        <v>417.32773499999996</v>
      </c>
    </row>
    <row r="123" spans="1:10" s="10" customFormat="1" ht="22.5" customHeight="1" x14ac:dyDescent="0.2">
      <c r="A123" s="11" t="s">
        <v>136</v>
      </c>
      <c r="B123" s="11" t="s">
        <v>187</v>
      </c>
      <c r="C123" s="11" t="s">
        <v>197</v>
      </c>
      <c r="D123" s="11" t="s">
        <v>176</v>
      </c>
      <c r="E123" s="11" t="s">
        <v>424</v>
      </c>
      <c r="F123" s="6" t="s">
        <v>284</v>
      </c>
      <c r="G123" s="66">
        <v>1</v>
      </c>
      <c r="H123" s="60">
        <v>338.42</v>
      </c>
      <c r="I123" s="60">
        <f t="shared" si="2"/>
        <v>435.37733000000003</v>
      </c>
      <c r="J123" s="60">
        <f t="shared" si="3"/>
        <v>435.37733000000003</v>
      </c>
    </row>
    <row r="124" spans="1:10" s="10" customFormat="1" ht="22.5" customHeight="1" x14ac:dyDescent="0.2">
      <c r="A124" s="11" t="s">
        <v>137</v>
      </c>
      <c r="B124" s="11" t="s">
        <v>186</v>
      </c>
      <c r="C124" s="11" t="s">
        <v>197</v>
      </c>
      <c r="D124" s="11" t="s">
        <v>378</v>
      </c>
      <c r="E124" s="11" t="s">
        <v>424</v>
      </c>
      <c r="F124" s="6" t="s">
        <v>284</v>
      </c>
      <c r="G124" s="66">
        <v>2</v>
      </c>
      <c r="H124" s="60">
        <v>117.1</v>
      </c>
      <c r="I124" s="60">
        <f t="shared" si="2"/>
        <v>150.64914999999999</v>
      </c>
      <c r="J124" s="60">
        <f t="shared" si="3"/>
        <v>301.29829999999998</v>
      </c>
    </row>
    <row r="125" spans="1:10" s="10" customFormat="1" ht="15" customHeight="1" x14ac:dyDescent="0.2">
      <c r="A125" s="11" t="s">
        <v>140</v>
      </c>
      <c r="B125" s="11" t="s">
        <v>576</v>
      </c>
      <c r="C125" s="11" t="s">
        <v>344</v>
      </c>
      <c r="D125" s="11" t="s">
        <v>320</v>
      </c>
      <c r="E125" s="11" t="s">
        <v>299</v>
      </c>
      <c r="F125" s="6" t="s">
        <v>244</v>
      </c>
      <c r="G125" s="66">
        <v>1</v>
      </c>
      <c r="H125" s="60">
        <v>108.71</v>
      </c>
      <c r="I125" s="60">
        <f t="shared" si="2"/>
        <v>139.85541499999999</v>
      </c>
      <c r="J125" s="60">
        <f t="shared" si="3"/>
        <v>139.85541499999999</v>
      </c>
    </row>
    <row r="126" spans="1:10" s="10" customFormat="1" ht="15" customHeight="1" x14ac:dyDescent="0.2">
      <c r="A126" s="56" t="s">
        <v>5</v>
      </c>
      <c r="B126" s="56"/>
      <c r="C126" s="56"/>
      <c r="D126" s="56" t="s">
        <v>254</v>
      </c>
      <c r="E126" s="56"/>
      <c r="F126" s="56"/>
      <c r="G126" s="67"/>
      <c r="H126" s="58"/>
      <c r="I126" s="61"/>
      <c r="J126" s="63">
        <f>SUM(J127:J133)</f>
        <v>2915.504895</v>
      </c>
    </row>
    <row r="127" spans="1:10" s="10" customFormat="1" ht="37.5" customHeight="1" x14ac:dyDescent="0.2">
      <c r="A127" s="11" t="s">
        <v>70</v>
      </c>
      <c r="B127" s="11" t="s">
        <v>350</v>
      </c>
      <c r="C127" s="11" t="s">
        <v>197</v>
      </c>
      <c r="D127" s="11" t="s">
        <v>476</v>
      </c>
      <c r="E127" s="11" t="s">
        <v>424</v>
      </c>
      <c r="F127" s="6" t="s">
        <v>284</v>
      </c>
      <c r="G127" s="66">
        <v>2</v>
      </c>
      <c r="H127" s="60">
        <v>324.39</v>
      </c>
      <c r="I127" s="60">
        <f t="shared" si="2"/>
        <v>417.32773499999996</v>
      </c>
      <c r="J127" s="60">
        <f t="shared" si="3"/>
        <v>834.65546999999992</v>
      </c>
    </row>
    <row r="128" spans="1:10" s="10" customFormat="1" ht="22.5" customHeight="1" x14ac:dyDescent="0.2">
      <c r="A128" s="11" t="s">
        <v>72</v>
      </c>
      <c r="B128" s="11" t="s">
        <v>489</v>
      </c>
      <c r="C128" s="11" t="s">
        <v>344</v>
      </c>
      <c r="D128" s="11" t="s">
        <v>531</v>
      </c>
      <c r="E128" s="11" t="s">
        <v>299</v>
      </c>
      <c r="F128" s="6" t="s">
        <v>244</v>
      </c>
      <c r="G128" s="66">
        <v>2</v>
      </c>
      <c r="H128" s="60">
        <v>203.26</v>
      </c>
      <c r="I128" s="60">
        <f t="shared" si="2"/>
        <v>261.49399</v>
      </c>
      <c r="J128" s="60">
        <f t="shared" si="3"/>
        <v>522.98797999999999</v>
      </c>
    </row>
    <row r="129" spans="1:10" s="10" customFormat="1" ht="15" customHeight="1" x14ac:dyDescent="0.2">
      <c r="A129" s="11" t="s">
        <v>73</v>
      </c>
      <c r="B129" s="11" t="s">
        <v>576</v>
      </c>
      <c r="C129" s="11" t="s">
        <v>344</v>
      </c>
      <c r="D129" s="11" t="s">
        <v>320</v>
      </c>
      <c r="E129" s="11" t="s">
        <v>299</v>
      </c>
      <c r="F129" s="6" t="s">
        <v>244</v>
      </c>
      <c r="G129" s="66">
        <v>3</v>
      </c>
      <c r="H129" s="60">
        <v>108.71</v>
      </c>
      <c r="I129" s="60">
        <f t="shared" si="2"/>
        <v>139.85541499999999</v>
      </c>
      <c r="J129" s="60">
        <f t="shared" si="3"/>
        <v>419.56624499999998</v>
      </c>
    </row>
    <row r="130" spans="1:10" s="10" customFormat="1" ht="22.5" customHeight="1" x14ac:dyDescent="0.2">
      <c r="A130" s="11" t="s">
        <v>74</v>
      </c>
      <c r="B130" s="11" t="s">
        <v>186</v>
      </c>
      <c r="C130" s="11" t="s">
        <v>197</v>
      </c>
      <c r="D130" s="11" t="s">
        <v>378</v>
      </c>
      <c r="E130" s="11" t="s">
        <v>424</v>
      </c>
      <c r="F130" s="6" t="s">
        <v>284</v>
      </c>
      <c r="G130" s="66">
        <v>2</v>
      </c>
      <c r="H130" s="60">
        <v>117.1</v>
      </c>
      <c r="I130" s="60">
        <f t="shared" si="2"/>
        <v>150.64914999999999</v>
      </c>
      <c r="J130" s="60">
        <f t="shared" si="3"/>
        <v>301.29829999999998</v>
      </c>
    </row>
    <row r="131" spans="1:10" s="10" customFormat="1" ht="22.5" customHeight="1" x14ac:dyDescent="0.2">
      <c r="A131" s="11" t="s">
        <v>75</v>
      </c>
      <c r="B131" s="11" t="s">
        <v>181</v>
      </c>
      <c r="C131" s="11" t="s">
        <v>197</v>
      </c>
      <c r="D131" s="11" t="s">
        <v>342</v>
      </c>
      <c r="E131" s="11" t="s">
        <v>424</v>
      </c>
      <c r="F131" s="6" t="s">
        <v>284</v>
      </c>
      <c r="G131" s="66">
        <v>10</v>
      </c>
      <c r="H131" s="60">
        <v>13.31</v>
      </c>
      <c r="I131" s="60">
        <f t="shared" si="2"/>
        <v>17.123315000000002</v>
      </c>
      <c r="J131" s="60">
        <f t="shared" si="3"/>
        <v>171.23315000000002</v>
      </c>
    </row>
    <row r="132" spans="1:10" s="10" customFormat="1" ht="22.5" customHeight="1" x14ac:dyDescent="0.2">
      <c r="A132" s="11" t="s">
        <v>76</v>
      </c>
      <c r="B132" s="11" t="s">
        <v>183</v>
      </c>
      <c r="C132" s="11" t="s">
        <v>197</v>
      </c>
      <c r="D132" s="11" t="s">
        <v>564</v>
      </c>
      <c r="E132" s="11" t="s">
        <v>424</v>
      </c>
      <c r="F132" s="6" t="s">
        <v>284</v>
      </c>
      <c r="G132" s="66">
        <v>10</v>
      </c>
      <c r="H132" s="60">
        <v>20.76</v>
      </c>
      <c r="I132" s="60">
        <f t="shared" si="2"/>
        <v>26.707740000000001</v>
      </c>
      <c r="J132" s="60">
        <f t="shared" si="3"/>
        <v>267.07740000000001</v>
      </c>
    </row>
    <row r="133" spans="1:10" s="10" customFormat="1" ht="22.5" customHeight="1" x14ac:dyDescent="0.2">
      <c r="A133" s="11" t="s">
        <v>77</v>
      </c>
      <c r="B133" s="11" t="s">
        <v>184</v>
      </c>
      <c r="C133" s="11" t="s">
        <v>197</v>
      </c>
      <c r="D133" s="11" t="s">
        <v>322</v>
      </c>
      <c r="E133" s="11" t="s">
        <v>424</v>
      </c>
      <c r="F133" s="6" t="s">
        <v>284</v>
      </c>
      <c r="G133" s="66">
        <v>5</v>
      </c>
      <c r="H133" s="60">
        <v>61.98</v>
      </c>
      <c r="I133" s="60">
        <f t="shared" si="2"/>
        <v>79.737269999999995</v>
      </c>
      <c r="J133" s="60">
        <f t="shared" si="3"/>
        <v>398.68634999999995</v>
      </c>
    </row>
    <row r="134" spans="1:10" s="10" customFormat="1" ht="15" customHeight="1" x14ac:dyDescent="0.2">
      <c r="A134" s="56" t="s">
        <v>6</v>
      </c>
      <c r="B134" s="56"/>
      <c r="C134" s="56"/>
      <c r="D134" s="56" t="s">
        <v>116</v>
      </c>
      <c r="E134" s="56"/>
      <c r="F134" s="56"/>
      <c r="G134" s="67"/>
      <c r="H134" s="58"/>
      <c r="I134" s="61"/>
      <c r="J134" s="63">
        <f>SUM(J135:J144)</f>
        <v>12125.339689999999</v>
      </c>
    </row>
    <row r="135" spans="1:10" s="10" customFormat="1" ht="15" customHeight="1" x14ac:dyDescent="0.2">
      <c r="A135" s="11" t="s">
        <v>578</v>
      </c>
      <c r="B135" s="11" t="s">
        <v>417</v>
      </c>
      <c r="C135" s="11" t="s">
        <v>344</v>
      </c>
      <c r="D135" s="11" t="s">
        <v>387</v>
      </c>
      <c r="E135" s="11" t="s">
        <v>14</v>
      </c>
      <c r="F135" s="6" t="s">
        <v>244</v>
      </c>
      <c r="G135" s="66">
        <v>11</v>
      </c>
      <c r="H135" s="60">
        <v>158.46</v>
      </c>
      <c r="I135" s="60">
        <f t="shared" si="2"/>
        <v>203.85879</v>
      </c>
      <c r="J135" s="60">
        <f t="shared" si="3"/>
        <v>2242.4466899999998</v>
      </c>
    </row>
    <row r="136" spans="1:10" s="10" customFormat="1" ht="15" customHeight="1" x14ac:dyDescent="0.2">
      <c r="A136" s="11" t="s">
        <v>579</v>
      </c>
      <c r="B136" s="11" t="s">
        <v>420</v>
      </c>
      <c r="C136" s="11" t="s">
        <v>344</v>
      </c>
      <c r="D136" s="11" t="s">
        <v>106</v>
      </c>
      <c r="E136" s="11" t="s">
        <v>14</v>
      </c>
      <c r="F136" s="6" t="s">
        <v>244</v>
      </c>
      <c r="G136" s="66">
        <v>11</v>
      </c>
      <c r="H136" s="60">
        <v>116.06</v>
      </c>
      <c r="I136" s="60">
        <f t="shared" si="2"/>
        <v>149.31119000000001</v>
      </c>
      <c r="J136" s="60">
        <f t="shared" si="3"/>
        <v>1642.4230900000002</v>
      </c>
    </row>
    <row r="137" spans="1:10" s="10" customFormat="1" ht="22.5" customHeight="1" x14ac:dyDescent="0.2">
      <c r="A137" s="11" t="s">
        <v>582</v>
      </c>
      <c r="B137" s="11" t="s">
        <v>409</v>
      </c>
      <c r="C137" s="11" t="s">
        <v>344</v>
      </c>
      <c r="D137" s="11" t="s">
        <v>119</v>
      </c>
      <c r="E137" s="11" t="s">
        <v>14</v>
      </c>
      <c r="F137" s="6" t="s">
        <v>162</v>
      </c>
      <c r="G137" s="66">
        <v>11</v>
      </c>
      <c r="H137" s="60">
        <v>232.14</v>
      </c>
      <c r="I137" s="60">
        <f t="shared" ref="I137:I200" si="4">H137*1.2865</f>
        <v>298.64810999999997</v>
      </c>
      <c r="J137" s="60">
        <f t="shared" ref="J137:J200" si="5">G137*I137</f>
        <v>3285.1292099999996</v>
      </c>
    </row>
    <row r="138" spans="1:10" s="10" customFormat="1" ht="22.5" customHeight="1" x14ac:dyDescent="0.2">
      <c r="A138" s="11" t="s">
        <v>583</v>
      </c>
      <c r="B138" s="11" t="s">
        <v>516</v>
      </c>
      <c r="C138" s="11" t="s">
        <v>344</v>
      </c>
      <c r="D138" s="11" t="s">
        <v>361</v>
      </c>
      <c r="E138" s="11" t="s">
        <v>148</v>
      </c>
      <c r="F138" s="6" t="s">
        <v>244</v>
      </c>
      <c r="G138" s="66">
        <v>7</v>
      </c>
      <c r="H138" s="60">
        <v>121.59</v>
      </c>
      <c r="I138" s="60">
        <f t="shared" si="4"/>
        <v>156.425535</v>
      </c>
      <c r="J138" s="60">
        <f t="shared" si="5"/>
        <v>1094.9787449999999</v>
      </c>
    </row>
    <row r="139" spans="1:10" s="10" customFormat="1" ht="15" customHeight="1" x14ac:dyDescent="0.2">
      <c r="A139" s="11" t="s">
        <v>584</v>
      </c>
      <c r="B139" s="11" t="s">
        <v>111</v>
      </c>
      <c r="C139" s="11" t="s">
        <v>344</v>
      </c>
      <c r="D139" s="11" t="s">
        <v>495</v>
      </c>
      <c r="E139" s="11" t="s">
        <v>14</v>
      </c>
      <c r="F139" s="6" t="s">
        <v>244</v>
      </c>
      <c r="G139" s="66">
        <v>1</v>
      </c>
      <c r="H139" s="60">
        <v>586.88</v>
      </c>
      <c r="I139" s="60">
        <f t="shared" si="4"/>
        <v>755.02112</v>
      </c>
      <c r="J139" s="60">
        <f t="shared" si="5"/>
        <v>755.02112</v>
      </c>
    </row>
    <row r="140" spans="1:10" s="10" customFormat="1" ht="15" customHeight="1" x14ac:dyDescent="0.2">
      <c r="A140" s="11" t="s">
        <v>585</v>
      </c>
      <c r="B140" s="11" t="s">
        <v>513</v>
      </c>
      <c r="C140" s="11" t="s">
        <v>344</v>
      </c>
      <c r="D140" s="11" t="s">
        <v>97</v>
      </c>
      <c r="E140" s="11" t="s">
        <v>303</v>
      </c>
      <c r="F140" s="6" t="s">
        <v>244</v>
      </c>
      <c r="G140" s="66">
        <v>1</v>
      </c>
      <c r="H140" s="60">
        <v>648.82000000000005</v>
      </c>
      <c r="I140" s="60">
        <f t="shared" si="4"/>
        <v>834.70693000000006</v>
      </c>
      <c r="J140" s="60">
        <f t="shared" si="5"/>
        <v>834.70693000000006</v>
      </c>
    </row>
    <row r="141" spans="1:10" s="10" customFormat="1" ht="15" customHeight="1" x14ac:dyDescent="0.2">
      <c r="A141" s="11" t="s">
        <v>586</v>
      </c>
      <c r="B141" s="11" t="s">
        <v>352</v>
      </c>
      <c r="C141" s="11" t="s">
        <v>344</v>
      </c>
      <c r="D141" s="11" t="s">
        <v>351</v>
      </c>
      <c r="E141" s="11" t="s">
        <v>14</v>
      </c>
      <c r="F141" s="6" t="s">
        <v>244</v>
      </c>
      <c r="G141" s="66">
        <v>1</v>
      </c>
      <c r="H141" s="60">
        <v>245.37</v>
      </c>
      <c r="I141" s="60">
        <f t="shared" si="4"/>
        <v>315.66850499999998</v>
      </c>
      <c r="J141" s="60">
        <f t="shared" si="5"/>
        <v>315.66850499999998</v>
      </c>
    </row>
    <row r="142" spans="1:10" s="10" customFormat="1" ht="22.5" customHeight="1" x14ac:dyDescent="0.2">
      <c r="A142" s="11" t="s">
        <v>587</v>
      </c>
      <c r="B142" s="11" t="s">
        <v>133</v>
      </c>
      <c r="C142" s="11" t="s">
        <v>197</v>
      </c>
      <c r="D142" s="11" t="s">
        <v>373</v>
      </c>
      <c r="E142" s="11" t="s">
        <v>532</v>
      </c>
      <c r="F142" s="6" t="s">
        <v>284</v>
      </c>
      <c r="G142" s="66">
        <v>1</v>
      </c>
      <c r="H142" s="60">
        <v>336.94</v>
      </c>
      <c r="I142" s="60">
        <f t="shared" si="4"/>
        <v>433.47330999999997</v>
      </c>
      <c r="J142" s="60">
        <f t="shared" si="5"/>
        <v>433.47330999999997</v>
      </c>
    </row>
    <row r="143" spans="1:10" s="10" customFormat="1" ht="22.5" customHeight="1" x14ac:dyDescent="0.2">
      <c r="A143" s="11" t="s">
        <v>588</v>
      </c>
      <c r="B143" s="11" t="s">
        <v>192</v>
      </c>
      <c r="C143" s="11" t="s">
        <v>197</v>
      </c>
      <c r="D143" s="11" t="s">
        <v>141</v>
      </c>
      <c r="E143" s="11" t="s">
        <v>532</v>
      </c>
      <c r="F143" s="6" t="s">
        <v>284</v>
      </c>
      <c r="G143" s="66">
        <v>3</v>
      </c>
      <c r="H143" s="60">
        <v>160.69</v>
      </c>
      <c r="I143" s="60">
        <f t="shared" si="4"/>
        <v>206.72768499999998</v>
      </c>
      <c r="J143" s="60">
        <f t="shared" si="5"/>
        <v>620.18305499999997</v>
      </c>
    </row>
    <row r="144" spans="1:10" s="10" customFormat="1" ht="22.5" customHeight="1" x14ac:dyDescent="0.2">
      <c r="A144" s="11" t="s">
        <v>332</v>
      </c>
      <c r="B144" s="11" t="s">
        <v>475</v>
      </c>
      <c r="C144" s="11" t="s">
        <v>197</v>
      </c>
      <c r="D144" s="11" t="s">
        <v>286</v>
      </c>
      <c r="E144" s="11" t="s">
        <v>532</v>
      </c>
      <c r="F144" s="6" t="s">
        <v>284</v>
      </c>
      <c r="G144" s="66">
        <v>3</v>
      </c>
      <c r="H144" s="60">
        <v>233.53</v>
      </c>
      <c r="I144" s="60">
        <f t="shared" si="4"/>
        <v>300.43634500000002</v>
      </c>
      <c r="J144" s="60">
        <f t="shared" si="5"/>
        <v>901.30903499999999</v>
      </c>
    </row>
    <row r="145" spans="1:10" s="10" customFormat="1" ht="15" customHeight="1" x14ac:dyDescent="0.2">
      <c r="A145" s="56" t="s">
        <v>255</v>
      </c>
      <c r="B145" s="56"/>
      <c r="C145" s="56"/>
      <c r="D145" s="56" t="s">
        <v>552</v>
      </c>
      <c r="E145" s="56"/>
      <c r="F145" s="56"/>
      <c r="G145" s="67"/>
      <c r="H145" s="58"/>
      <c r="I145" s="61"/>
      <c r="J145" s="61"/>
    </row>
    <row r="146" spans="1:10" s="10" customFormat="1" ht="15" customHeight="1" x14ac:dyDescent="0.2">
      <c r="A146" s="56" t="s">
        <v>365</v>
      </c>
      <c r="B146" s="56"/>
      <c r="C146" s="56"/>
      <c r="D146" s="56" t="s">
        <v>442</v>
      </c>
      <c r="E146" s="56"/>
      <c r="F146" s="56"/>
      <c r="G146" s="67"/>
      <c r="H146" s="58"/>
      <c r="I146" s="61"/>
      <c r="J146" s="63">
        <f>SUM(J147:J164)</f>
        <v>37279.897245499997</v>
      </c>
    </row>
    <row r="147" spans="1:10" s="10" customFormat="1" ht="37.5" customHeight="1" x14ac:dyDescent="0.2">
      <c r="A147" s="11" t="s">
        <v>509</v>
      </c>
      <c r="B147" s="11" t="s">
        <v>450</v>
      </c>
      <c r="C147" s="11" t="s">
        <v>197</v>
      </c>
      <c r="D147" s="11" t="s">
        <v>488</v>
      </c>
      <c r="E147" s="11" t="s">
        <v>571</v>
      </c>
      <c r="F147" s="6" t="s">
        <v>284</v>
      </c>
      <c r="G147" s="66">
        <v>1</v>
      </c>
      <c r="H147" s="60">
        <v>206.33</v>
      </c>
      <c r="I147" s="60">
        <f t="shared" si="4"/>
        <v>265.44354500000003</v>
      </c>
      <c r="J147" s="60">
        <f t="shared" si="5"/>
        <v>265.44354500000003</v>
      </c>
    </row>
    <row r="148" spans="1:10" s="10" customFormat="1" ht="15" customHeight="1" x14ac:dyDescent="0.2">
      <c r="A148" s="11" t="s">
        <v>511</v>
      </c>
      <c r="B148" s="11" t="s">
        <v>490</v>
      </c>
      <c r="C148" s="11" t="s">
        <v>344</v>
      </c>
      <c r="D148" s="11" t="s">
        <v>595</v>
      </c>
      <c r="E148" s="11" t="s">
        <v>171</v>
      </c>
      <c r="F148" s="6" t="s">
        <v>244</v>
      </c>
      <c r="G148" s="66">
        <v>1</v>
      </c>
      <c r="H148" s="60">
        <v>9.68</v>
      </c>
      <c r="I148" s="60">
        <f t="shared" si="4"/>
        <v>12.45332</v>
      </c>
      <c r="J148" s="60">
        <f t="shared" si="5"/>
        <v>12.45332</v>
      </c>
    </row>
    <row r="149" spans="1:10" s="10" customFormat="1" ht="52.5" customHeight="1" x14ac:dyDescent="0.2">
      <c r="A149" s="11" t="s">
        <v>512</v>
      </c>
      <c r="B149" s="11" t="s">
        <v>449</v>
      </c>
      <c r="C149" s="11" t="s">
        <v>344</v>
      </c>
      <c r="D149" s="11" t="s">
        <v>425</v>
      </c>
      <c r="E149" s="11" t="s">
        <v>171</v>
      </c>
      <c r="F149" s="6" t="s">
        <v>244</v>
      </c>
      <c r="G149" s="66">
        <v>4</v>
      </c>
      <c r="H149" s="60">
        <v>271.2</v>
      </c>
      <c r="I149" s="60">
        <f t="shared" si="4"/>
        <v>348.89879999999999</v>
      </c>
      <c r="J149" s="60">
        <f t="shared" si="5"/>
        <v>1395.5952</v>
      </c>
    </row>
    <row r="150" spans="1:10" s="10" customFormat="1" ht="15" customHeight="1" x14ac:dyDescent="0.2">
      <c r="A150" s="11" t="s">
        <v>514</v>
      </c>
      <c r="B150" s="11" t="s">
        <v>235</v>
      </c>
      <c r="C150" s="11" t="s">
        <v>344</v>
      </c>
      <c r="D150" s="11" t="s">
        <v>464</v>
      </c>
      <c r="E150" s="11" t="s">
        <v>171</v>
      </c>
      <c r="F150" s="6" t="s">
        <v>244</v>
      </c>
      <c r="G150" s="66">
        <v>5</v>
      </c>
      <c r="H150" s="60">
        <v>14.89</v>
      </c>
      <c r="I150" s="60">
        <f t="shared" si="4"/>
        <v>19.155985000000001</v>
      </c>
      <c r="J150" s="60">
        <f t="shared" si="5"/>
        <v>95.779925000000006</v>
      </c>
    </row>
    <row r="151" spans="1:10" s="10" customFormat="1" ht="52.5" customHeight="1" x14ac:dyDescent="0.2">
      <c r="A151" s="11" t="s">
        <v>515</v>
      </c>
      <c r="B151" s="11" t="s">
        <v>249</v>
      </c>
      <c r="C151" s="11" t="s">
        <v>197</v>
      </c>
      <c r="D151" s="11" t="s">
        <v>572</v>
      </c>
      <c r="E151" s="11" t="s">
        <v>571</v>
      </c>
      <c r="F151" s="6" t="s">
        <v>284</v>
      </c>
      <c r="G151" s="66">
        <v>13</v>
      </c>
      <c r="H151" s="60">
        <v>169</v>
      </c>
      <c r="I151" s="60">
        <f t="shared" si="4"/>
        <v>217.41849999999999</v>
      </c>
      <c r="J151" s="60">
        <f t="shared" si="5"/>
        <v>2826.4404999999997</v>
      </c>
    </row>
    <row r="152" spans="1:10" s="10" customFormat="1" ht="37.5" customHeight="1" x14ac:dyDescent="0.2">
      <c r="A152" s="11" t="s">
        <v>517</v>
      </c>
      <c r="B152" s="11" t="s">
        <v>600</v>
      </c>
      <c r="C152" s="11" t="s">
        <v>344</v>
      </c>
      <c r="D152" s="11" t="s">
        <v>265</v>
      </c>
      <c r="E152" s="11" t="s">
        <v>171</v>
      </c>
      <c r="F152" s="6" t="s">
        <v>244</v>
      </c>
      <c r="G152" s="66">
        <v>1</v>
      </c>
      <c r="H152" s="60">
        <v>2745.1</v>
      </c>
      <c r="I152" s="60">
        <f t="shared" si="4"/>
        <v>3531.5711499999998</v>
      </c>
      <c r="J152" s="60">
        <f t="shared" si="5"/>
        <v>3531.5711499999998</v>
      </c>
    </row>
    <row r="153" spans="1:10" s="10" customFormat="1" ht="30" customHeight="1" x14ac:dyDescent="0.2">
      <c r="A153" s="11" t="s">
        <v>518</v>
      </c>
      <c r="B153" s="11" t="s">
        <v>126</v>
      </c>
      <c r="C153" s="11" t="s">
        <v>197</v>
      </c>
      <c r="D153" s="11" t="s">
        <v>10</v>
      </c>
      <c r="E153" s="11" t="s">
        <v>571</v>
      </c>
      <c r="F153" s="6" t="s">
        <v>284</v>
      </c>
      <c r="G153" s="66">
        <v>14</v>
      </c>
      <c r="H153" s="60">
        <v>57.31</v>
      </c>
      <c r="I153" s="60">
        <f t="shared" si="4"/>
        <v>73.729315</v>
      </c>
      <c r="J153" s="60">
        <f t="shared" si="5"/>
        <v>1032.2104099999999</v>
      </c>
    </row>
    <row r="154" spans="1:10" s="10" customFormat="1" ht="15" customHeight="1" x14ac:dyDescent="0.2">
      <c r="A154" s="11" t="s">
        <v>519</v>
      </c>
      <c r="B154" s="11" t="s">
        <v>448</v>
      </c>
      <c r="C154" s="11" t="s">
        <v>344</v>
      </c>
      <c r="D154" s="11" t="s">
        <v>594</v>
      </c>
      <c r="E154" s="11" t="s">
        <v>171</v>
      </c>
      <c r="F154" s="6" t="s">
        <v>244</v>
      </c>
      <c r="G154" s="66">
        <v>14</v>
      </c>
      <c r="H154" s="60">
        <v>115.25</v>
      </c>
      <c r="I154" s="60">
        <f t="shared" si="4"/>
        <v>148.269125</v>
      </c>
      <c r="J154" s="60">
        <f t="shared" si="5"/>
        <v>2075.76775</v>
      </c>
    </row>
    <row r="155" spans="1:10" s="10" customFormat="1" ht="37.5" customHeight="1" x14ac:dyDescent="0.2">
      <c r="A155" s="11" t="s">
        <v>520</v>
      </c>
      <c r="B155" s="11" t="s">
        <v>201</v>
      </c>
      <c r="C155" s="11" t="s">
        <v>197</v>
      </c>
      <c r="D155" s="11" t="s">
        <v>357</v>
      </c>
      <c r="E155" s="11" t="s">
        <v>571</v>
      </c>
      <c r="F155" s="6" t="s">
        <v>284</v>
      </c>
      <c r="G155" s="66">
        <v>1</v>
      </c>
      <c r="H155" s="60">
        <v>634.92999999999995</v>
      </c>
      <c r="I155" s="60">
        <f t="shared" si="4"/>
        <v>816.83744499999989</v>
      </c>
      <c r="J155" s="60">
        <f t="shared" si="5"/>
        <v>816.83744499999989</v>
      </c>
    </row>
    <row r="156" spans="1:10" s="10" customFormat="1" ht="15" customHeight="1" x14ac:dyDescent="0.2">
      <c r="A156" s="11" t="s">
        <v>270</v>
      </c>
      <c r="B156" s="11" t="s">
        <v>121</v>
      </c>
      <c r="C156" s="11" t="s">
        <v>344</v>
      </c>
      <c r="D156" s="11" t="s">
        <v>204</v>
      </c>
      <c r="E156" s="11" t="s">
        <v>66</v>
      </c>
      <c r="F156" s="6" t="s">
        <v>244</v>
      </c>
      <c r="G156" s="66">
        <v>1</v>
      </c>
      <c r="H156" s="60">
        <v>656.43</v>
      </c>
      <c r="I156" s="60">
        <f t="shared" si="4"/>
        <v>844.49719499999992</v>
      </c>
      <c r="J156" s="60">
        <f t="shared" si="5"/>
        <v>844.49719499999992</v>
      </c>
    </row>
    <row r="157" spans="1:10" s="10" customFormat="1" ht="37.5" customHeight="1" x14ac:dyDescent="0.2">
      <c r="A157" s="11" t="s">
        <v>271</v>
      </c>
      <c r="B157" s="11" t="s">
        <v>319</v>
      </c>
      <c r="C157" s="11" t="s">
        <v>344</v>
      </c>
      <c r="D157" s="11" t="s">
        <v>178</v>
      </c>
      <c r="E157" s="11" t="s">
        <v>171</v>
      </c>
      <c r="F157" s="6" t="s">
        <v>83</v>
      </c>
      <c r="G157" s="66">
        <v>13.2</v>
      </c>
      <c r="H157" s="60">
        <v>712.89</v>
      </c>
      <c r="I157" s="60">
        <f t="shared" si="4"/>
        <v>917.13298499999996</v>
      </c>
      <c r="J157" s="60">
        <f t="shared" si="5"/>
        <v>12106.155401999999</v>
      </c>
    </row>
    <row r="158" spans="1:10" s="10" customFormat="1" ht="37.5" customHeight="1" x14ac:dyDescent="0.2">
      <c r="A158" s="11" t="s">
        <v>272</v>
      </c>
      <c r="B158" s="11" t="s">
        <v>319</v>
      </c>
      <c r="C158" s="11" t="s">
        <v>344</v>
      </c>
      <c r="D158" s="11" t="s">
        <v>178</v>
      </c>
      <c r="E158" s="11" t="s">
        <v>171</v>
      </c>
      <c r="F158" s="6" t="s">
        <v>83</v>
      </c>
      <c r="G158" s="66">
        <v>2.7</v>
      </c>
      <c r="H158" s="60">
        <v>712.89</v>
      </c>
      <c r="I158" s="60">
        <f t="shared" si="4"/>
        <v>917.13298499999996</v>
      </c>
      <c r="J158" s="60">
        <f t="shared" si="5"/>
        <v>2476.2590595000001</v>
      </c>
    </row>
    <row r="159" spans="1:10" s="10" customFormat="1" ht="22.5" customHeight="1" x14ac:dyDescent="0.2">
      <c r="A159" s="11" t="s">
        <v>274</v>
      </c>
      <c r="B159" s="11" t="s">
        <v>323</v>
      </c>
      <c r="C159" s="11" t="s">
        <v>344</v>
      </c>
      <c r="D159" s="11" t="s">
        <v>98</v>
      </c>
      <c r="E159" s="11" t="s">
        <v>23</v>
      </c>
      <c r="F159" s="6" t="s">
        <v>83</v>
      </c>
      <c r="G159" s="66">
        <v>18.2</v>
      </c>
      <c r="H159" s="60">
        <v>77.53</v>
      </c>
      <c r="I159" s="60">
        <f t="shared" si="4"/>
        <v>99.742345</v>
      </c>
      <c r="J159" s="60">
        <f t="shared" si="5"/>
        <v>1815.3106789999999</v>
      </c>
    </row>
    <row r="160" spans="1:10" s="10" customFormat="1" ht="22.5" customHeight="1" x14ac:dyDescent="0.2">
      <c r="A160" s="11" t="s">
        <v>275</v>
      </c>
      <c r="B160" s="11" t="s">
        <v>565</v>
      </c>
      <c r="C160" s="11" t="s">
        <v>100</v>
      </c>
      <c r="D160" s="11" t="s">
        <v>381</v>
      </c>
      <c r="E160" s="11" t="s">
        <v>100</v>
      </c>
      <c r="F160" s="6" t="s">
        <v>284</v>
      </c>
      <c r="G160" s="66">
        <v>1</v>
      </c>
      <c r="H160" s="60">
        <v>762.65</v>
      </c>
      <c r="I160" s="60">
        <f t="shared" si="4"/>
        <v>981.149225</v>
      </c>
      <c r="J160" s="60">
        <f t="shared" si="5"/>
        <v>981.149225</v>
      </c>
    </row>
    <row r="161" spans="1:10" s="10" customFormat="1" ht="22.5" customHeight="1" x14ac:dyDescent="0.2">
      <c r="A161" s="11" t="s">
        <v>276</v>
      </c>
      <c r="B161" s="11" t="s">
        <v>198</v>
      </c>
      <c r="C161" s="11" t="s">
        <v>197</v>
      </c>
      <c r="D161" s="11" t="s">
        <v>472</v>
      </c>
      <c r="E161" s="11" t="s">
        <v>571</v>
      </c>
      <c r="F161" s="6" t="s">
        <v>284</v>
      </c>
      <c r="G161" s="66">
        <v>4</v>
      </c>
      <c r="H161" s="60">
        <v>34.08</v>
      </c>
      <c r="I161" s="60">
        <f t="shared" si="4"/>
        <v>43.843919999999997</v>
      </c>
      <c r="J161" s="60">
        <f t="shared" si="5"/>
        <v>175.37567999999999</v>
      </c>
    </row>
    <row r="162" spans="1:10" s="10" customFormat="1" ht="22.5" customHeight="1" x14ac:dyDescent="0.2">
      <c r="A162" s="11" t="s">
        <v>278</v>
      </c>
      <c r="B162" s="11" t="s">
        <v>185</v>
      </c>
      <c r="C162" s="11" t="s">
        <v>344</v>
      </c>
      <c r="D162" s="11" t="s">
        <v>293</v>
      </c>
      <c r="E162" s="11" t="s">
        <v>171</v>
      </c>
      <c r="F162" s="6" t="s">
        <v>244</v>
      </c>
      <c r="G162" s="66">
        <v>10</v>
      </c>
      <c r="H162" s="60">
        <v>184.44</v>
      </c>
      <c r="I162" s="60">
        <f t="shared" si="4"/>
        <v>237.28206</v>
      </c>
      <c r="J162" s="60">
        <f t="shared" si="5"/>
        <v>2372.8206</v>
      </c>
    </row>
    <row r="163" spans="1:10" s="10" customFormat="1" ht="22.5" customHeight="1" x14ac:dyDescent="0.2">
      <c r="A163" s="11" t="s">
        <v>279</v>
      </c>
      <c r="B163" s="11" t="s">
        <v>112</v>
      </c>
      <c r="C163" s="11" t="s">
        <v>197</v>
      </c>
      <c r="D163" s="11" t="s">
        <v>434</v>
      </c>
      <c r="E163" s="11" t="s">
        <v>424</v>
      </c>
      <c r="F163" s="6" t="s">
        <v>284</v>
      </c>
      <c r="G163" s="66">
        <v>2</v>
      </c>
      <c r="H163" s="60">
        <v>67.010000000000005</v>
      </c>
      <c r="I163" s="60">
        <f t="shared" si="4"/>
        <v>86.208365000000001</v>
      </c>
      <c r="J163" s="60">
        <f t="shared" si="5"/>
        <v>172.41673</v>
      </c>
    </row>
    <row r="164" spans="1:10" s="10" customFormat="1" ht="22.5" customHeight="1" x14ac:dyDescent="0.2">
      <c r="A164" s="11" t="s">
        <v>280</v>
      </c>
      <c r="B164" s="11" t="s">
        <v>596</v>
      </c>
      <c r="C164" s="11" t="s">
        <v>344</v>
      </c>
      <c r="D164" s="11" t="s">
        <v>415</v>
      </c>
      <c r="E164" s="11" t="s">
        <v>171</v>
      </c>
      <c r="F164" s="6" t="s">
        <v>244</v>
      </c>
      <c r="G164" s="66">
        <v>13</v>
      </c>
      <c r="H164" s="60">
        <v>256.14</v>
      </c>
      <c r="I164" s="60">
        <f t="shared" si="4"/>
        <v>329.52410999999995</v>
      </c>
      <c r="J164" s="60">
        <f t="shared" si="5"/>
        <v>4283.8134299999992</v>
      </c>
    </row>
    <row r="165" spans="1:10" s="10" customFormat="1" ht="15" customHeight="1" x14ac:dyDescent="0.2">
      <c r="A165" s="56" t="s">
        <v>367</v>
      </c>
      <c r="B165" s="56"/>
      <c r="C165" s="56"/>
      <c r="D165" s="56" t="s">
        <v>456</v>
      </c>
      <c r="E165" s="56"/>
      <c r="F165" s="56"/>
      <c r="G165" s="67"/>
      <c r="H165" s="58"/>
      <c r="I165" s="61"/>
      <c r="J165" s="63">
        <f>SUM(J166:J175)</f>
        <v>3874.5649150000004</v>
      </c>
    </row>
    <row r="166" spans="1:10" s="10" customFormat="1" ht="15" customHeight="1" x14ac:dyDescent="0.2">
      <c r="A166" s="12" t="s">
        <v>430</v>
      </c>
      <c r="B166" s="12" t="s">
        <v>523</v>
      </c>
      <c r="C166" s="12" t="s">
        <v>344</v>
      </c>
      <c r="D166" s="12" t="s">
        <v>149</v>
      </c>
      <c r="E166" s="12" t="s">
        <v>521</v>
      </c>
      <c r="F166" s="8" t="s">
        <v>244</v>
      </c>
      <c r="G166" s="68">
        <v>1</v>
      </c>
      <c r="H166" s="65">
        <v>1018.91</v>
      </c>
      <c r="I166" s="60">
        <f t="shared" si="4"/>
        <v>1310.8277149999999</v>
      </c>
      <c r="J166" s="60">
        <f t="shared" si="5"/>
        <v>1310.8277149999999</v>
      </c>
    </row>
    <row r="167" spans="1:10" s="10" customFormat="1" ht="15" customHeight="1" x14ac:dyDescent="0.2">
      <c r="A167" s="11" t="s">
        <v>431</v>
      </c>
      <c r="B167" s="11" t="s">
        <v>443</v>
      </c>
      <c r="C167" s="11" t="s">
        <v>197</v>
      </c>
      <c r="D167" s="11" t="s">
        <v>482</v>
      </c>
      <c r="E167" s="11" t="s">
        <v>571</v>
      </c>
      <c r="F167" s="6" t="s">
        <v>284</v>
      </c>
      <c r="G167" s="66">
        <v>1</v>
      </c>
      <c r="H167" s="60">
        <v>49.04</v>
      </c>
      <c r="I167" s="60">
        <f t="shared" si="4"/>
        <v>63.089959999999998</v>
      </c>
      <c r="J167" s="60">
        <f t="shared" si="5"/>
        <v>63.089959999999998</v>
      </c>
    </row>
    <row r="168" spans="1:10" s="10" customFormat="1" ht="22.5" customHeight="1" x14ac:dyDescent="0.2">
      <c r="A168" s="11" t="s">
        <v>432</v>
      </c>
      <c r="B168" s="11" t="s">
        <v>528</v>
      </c>
      <c r="C168" s="11" t="s">
        <v>197</v>
      </c>
      <c r="D168" s="11" t="s">
        <v>202</v>
      </c>
      <c r="E168" s="11" t="s">
        <v>571</v>
      </c>
      <c r="F168" s="6" t="s">
        <v>284</v>
      </c>
      <c r="G168" s="66">
        <v>1</v>
      </c>
      <c r="H168" s="60">
        <v>38.83</v>
      </c>
      <c r="I168" s="60">
        <f t="shared" si="4"/>
        <v>49.954794999999997</v>
      </c>
      <c r="J168" s="60">
        <f t="shared" si="5"/>
        <v>49.954794999999997</v>
      </c>
    </row>
    <row r="169" spans="1:10" s="10" customFormat="1" ht="30" customHeight="1" x14ac:dyDescent="0.2">
      <c r="A169" s="11" t="s">
        <v>433</v>
      </c>
      <c r="B169" s="11" t="s">
        <v>589</v>
      </c>
      <c r="C169" s="11" t="s">
        <v>197</v>
      </c>
      <c r="D169" s="11" t="s">
        <v>30</v>
      </c>
      <c r="E169" s="11" t="s">
        <v>424</v>
      </c>
      <c r="F169" s="6" t="s">
        <v>284</v>
      </c>
      <c r="G169" s="66">
        <v>1</v>
      </c>
      <c r="H169" s="60">
        <v>8.02</v>
      </c>
      <c r="I169" s="60">
        <f t="shared" si="4"/>
        <v>10.317729999999999</v>
      </c>
      <c r="J169" s="60">
        <f t="shared" si="5"/>
        <v>10.317729999999999</v>
      </c>
    </row>
    <row r="170" spans="1:10" s="10" customFormat="1" ht="15" customHeight="1" x14ac:dyDescent="0.2">
      <c r="A170" s="12" t="s">
        <v>435</v>
      </c>
      <c r="B170" s="12" t="s">
        <v>44</v>
      </c>
      <c r="C170" s="12" t="s">
        <v>45</v>
      </c>
      <c r="D170" s="12" t="s">
        <v>441</v>
      </c>
      <c r="E170" s="12" t="s">
        <v>542</v>
      </c>
      <c r="F170" s="8" t="s">
        <v>284</v>
      </c>
      <c r="G170" s="68">
        <v>1</v>
      </c>
      <c r="H170" s="65">
        <v>1563</v>
      </c>
      <c r="I170" s="60">
        <f t="shared" si="4"/>
        <v>2010.7994999999999</v>
      </c>
      <c r="J170" s="60">
        <f t="shared" si="5"/>
        <v>2010.7994999999999</v>
      </c>
    </row>
    <row r="171" spans="1:10" s="10" customFormat="1" ht="15" customHeight="1" x14ac:dyDescent="0.2">
      <c r="A171" s="12" t="s">
        <v>436</v>
      </c>
      <c r="B171" s="12" t="s">
        <v>46</v>
      </c>
      <c r="C171" s="12" t="s">
        <v>45</v>
      </c>
      <c r="D171" s="12" t="s">
        <v>152</v>
      </c>
      <c r="E171" s="12" t="s">
        <v>542</v>
      </c>
      <c r="F171" s="8" t="s">
        <v>284</v>
      </c>
      <c r="G171" s="68">
        <v>1</v>
      </c>
      <c r="H171" s="65">
        <v>89</v>
      </c>
      <c r="I171" s="60">
        <f t="shared" si="4"/>
        <v>114.49849999999999</v>
      </c>
      <c r="J171" s="60">
        <f t="shared" si="5"/>
        <v>114.49849999999999</v>
      </c>
    </row>
    <row r="172" spans="1:10" s="10" customFormat="1" ht="15" customHeight="1" x14ac:dyDescent="0.2">
      <c r="A172" s="11" t="s">
        <v>437</v>
      </c>
      <c r="B172" s="11" t="s">
        <v>602</v>
      </c>
      <c r="C172" s="11" t="s">
        <v>344</v>
      </c>
      <c r="D172" s="11" t="s">
        <v>406</v>
      </c>
      <c r="E172" s="11" t="s">
        <v>51</v>
      </c>
      <c r="F172" s="6" t="s">
        <v>244</v>
      </c>
      <c r="G172" s="66">
        <v>1</v>
      </c>
      <c r="H172" s="60">
        <v>70.09</v>
      </c>
      <c r="I172" s="60">
        <f t="shared" si="4"/>
        <v>90.170785000000009</v>
      </c>
      <c r="J172" s="60">
        <f t="shared" si="5"/>
        <v>90.170785000000009</v>
      </c>
    </row>
    <row r="173" spans="1:10" s="10" customFormat="1" ht="15" customHeight="1" x14ac:dyDescent="0.2">
      <c r="A173" s="11" t="s">
        <v>439</v>
      </c>
      <c r="B173" s="11" t="s">
        <v>419</v>
      </c>
      <c r="C173" s="11" t="s">
        <v>197</v>
      </c>
      <c r="D173" s="11" t="s">
        <v>304</v>
      </c>
      <c r="E173" s="11" t="s">
        <v>571</v>
      </c>
      <c r="F173" s="6" t="s">
        <v>284</v>
      </c>
      <c r="G173" s="66">
        <v>1</v>
      </c>
      <c r="H173" s="60">
        <v>78.58</v>
      </c>
      <c r="I173" s="60">
        <f t="shared" si="4"/>
        <v>101.09317</v>
      </c>
      <c r="J173" s="60">
        <f t="shared" si="5"/>
        <v>101.09317</v>
      </c>
    </row>
    <row r="174" spans="1:10" s="10" customFormat="1" ht="15" customHeight="1" x14ac:dyDescent="0.2">
      <c r="A174" s="11" t="s">
        <v>440</v>
      </c>
      <c r="B174" s="11" t="s">
        <v>165</v>
      </c>
      <c r="C174" s="11" t="s">
        <v>197</v>
      </c>
      <c r="D174" s="11" t="s">
        <v>429</v>
      </c>
      <c r="E174" s="11" t="s">
        <v>571</v>
      </c>
      <c r="F174" s="6" t="s">
        <v>284</v>
      </c>
      <c r="G174" s="66">
        <v>1</v>
      </c>
      <c r="H174" s="60">
        <v>41.27</v>
      </c>
      <c r="I174" s="60">
        <f t="shared" si="4"/>
        <v>53.093855000000005</v>
      </c>
      <c r="J174" s="60">
        <f t="shared" si="5"/>
        <v>53.093855000000005</v>
      </c>
    </row>
    <row r="175" spans="1:10" s="10" customFormat="1" ht="15" customHeight="1" x14ac:dyDescent="0.2">
      <c r="A175" s="11" t="s">
        <v>282</v>
      </c>
      <c r="B175" s="11" t="s">
        <v>601</v>
      </c>
      <c r="C175" s="11" t="s">
        <v>197</v>
      </c>
      <c r="D175" s="11" t="s">
        <v>117</v>
      </c>
      <c r="E175" s="11" t="s">
        <v>571</v>
      </c>
      <c r="F175" s="6" t="s">
        <v>284</v>
      </c>
      <c r="G175" s="66">
        <v>1</v>
      </c>
      <c r="H175" s="60">
        <v>54.97</v>
      </c>
      <c r="I175" s="60">
        <f t="shared" si="4"/>
        <v>70.718904999999992</v>
      </c>
      <c r="J175" s="60">
        <f t="shared" si="5"/>
        <v>70.718904999999992</v>
      </c>
    </row>
    <row r="176" spans="1:10" s="10" customFormat="1" ht="15" customHeight="1" x14ac:dyDescent="0.2">
      <c r="A176" s="56" t="s">
        <v>370</v>
      </c>
      <c r="B176" s="56"/>
      <c r="C176" s="56"/>
      <c r="D176" s="56" t="s">
        <v>341</v>
      </c>
      <c r="E176" s="56"/>
      <c r="F176" s="56"/>
      <c r="G176" s="67"/>
      <c r="H176" s="58"/>
      <c r="I176" s="61"/>
      <c r="J176" s="63">
        <f>SUM(J177:J184)</f>
        <v>7524.5069299999996</v>
      </c>
    </row>
    <row r="177" spans="1:10" s="10" customFormat="1" ht="30" customHeight="1" x14ac:dyDescent="0.2">
      <c r="A177" s="11" t="s">
        <v>356</v>
      </c>
      <c r="B177" s="11" t="s">
        <v>336</v>
      </c>
      <c r="C177" s="11" t="s">
        <v>197</v>
      </c>
      <c r="D177" s="11" t="s">
        <v>314</v>
      </c>
      <c r="E177" s="11" t="s">
        <v>571</v>
      </c>
      <c r="F177" s="6" t="s">
        <v>284</v>
      </c>
      <c r="G177" s="66">
        <v>2</v>
      </c>
      <c r="H177" s="60">
        <v>61.29</v>
      </c>
      <c r="I177" s="60">
        <f t="shared" si="4"/>
        <v>78.84958499999999</v>
      </c>
      <c r="J177" s="60">
        <f t="shared" si="5"/>
        <v>157.69916999999998</v>
      </c>
    </row>
    <row r="178" spans="1:10" s="10" customFormat="1" ht="22.5" customHeight="1" x14ac:dyDescent="0.2">
      <c r="A178" s="11" t="s">
        <v>358</v>
      </c>
      <c r="B178" s="11" t="s">
        <v>262</v>
      </c>
      <c r="C178" s="11" t="s">
        <v>197</v>
      </c>
      <c r="D178" s="11" t="s">
        <v>182</v>
      </c>
      <c r="E178" s="11" t="s">
        <v>571</v>
      </c>
      <c r="F178" s="6" t="s">
        <v>284</v>
      </c>
      <c r="G178" s="66">
        <v>6</v>
      </c>
      <c r="H178" s="60">
        <v>205.23</v>
      </c>
      <c r="I178" s="60">
        <f t="shared" si="4"/>
        <v>264.02839499999999</v>
      </c>
      <c r="J178" s="60">
        <f t="shared" si="5"/>
        <v>1584.1703699999998</v>
      </c>
    </row>
    <row r="179" spans="1:10" s="10" customFormat="1" ht="22.5" customHeight="1" x14ac:dyDescent="0.2">
      <c r="A179" s="11" t="s">
        <v>359</v>
      </c>
      <c r="B179" s="11" t="s">
        <v>499</v>
      </c>
      <c r="C179" s="11" t="s">
        <v>197</v>
      </c>
      <c r="D179" s="11" t="s">
        <v>84</v>
      </c>
      <c r="E179" s="11" t="s">
        <v>571</v>
      </c>
      <c r="F179" s="6" t="s">
        <v>284</v>
      </c>
      <c r="G179" s="66">
        <v>16</v>
      </c>
      <c r="H179" s="60">
        <v>77.47</v>
      </c>
      <c r="I179" s="60">
        <f t="shared" si="4"/>
        <v>99.665154999999999</v>
      </c>
      <c r="J179" s="60">
        <f t="shared" si="5"/>
        <v>1594.64248</v>
      </c>
    </row>
    <row r="180" spans="1:10" s="10" customFormat="1" ht="15" customHeight="1" x14ac:dyDescent="0.2">
      <c r="A180" s="12" t="s">
        <v>360</v>
      </c>
      <c r="B180" s="12" t="s">
        <v>71</v>
      </c>
      <c r="C180" s="12" t="s">
        <v>197</v>
      </c>
      <c r="D180" s="12" t="s">
        <v>325</v>
      </c>
      <c r="E180" s="12" t="s">
        <v>521</v>
      </c>
      <c r="F180" s="8" t="s">
        <v>284</v>
      </c>
      <c r="G180" s="68">
        <v>2</v>
      </c>
      <c r="H180" s="65">
        <v>1406.49</v>
      </c>
      <c r="I180" s="60">
        <f t="shared" si="4"/>
        <v>1809.4493849999999</v>
      </c>
      <c r="J180" s="60">
        <f t="shared" si="5"/>
        <v>3618.8987699999998</v>
      </c>
    </row>
    <row r="181" spans="1:10" s="10" customFormat="1" ht="22.5" customHeight="1" x14ac:dyDescent="0.2">
      <c r="A181" s="11" t="s">
        <v>362</v>
      </c>
      <c r="B181" s="11" t="s">
        <v>528</v>
      </c>
      <c r="C181" s="11" t="s">
        <v>197</v>
      </c>
      <c r="D181" s="11" t="s">
        <v>202</v>
      </c>
      <c r="E181" s="11" t="s">
        <v>571</v>
      </c>
      <c r="F181" s="6" t="s">
        <v>284</v>
      </c>
      <c r="G181" s="66">
        <v>1</v>
      </c>
      <c r="H181" s="60">
        <v>38.83</v>
      </c>
      <c r="I181" s="60">
        <f t="shared" si="4"/>
        <v>49.954794999999997</v>
      </c>
      <c r="J181" s="60">
        <f t="shared" si="5"/>
        <v>49.954794999999997</v>
      </c>
    </row>
    <row r="182" spans="1:10" s="10" customFormat="1" ht="15" customHeight="1" x14ac:dyDescent="0.2">
      <c r="A182" s="11" t="s">
        <v>363</v>
      </c>
      <c r="B182" s="11" t="s">
        <v>242</v>
      </c>
      <c r="C182" s="11" t="s">
        <v>197</v>
      </c>
      <c r="D182" s="11" t="s">
        <v>597</v>
      </c>
      <c r="E182" s="11" t="s">
        <v>571</v>
      </c>
      <c r="F182" s="6" t="s">
        <v>284</v>
      </c>
      <c r="G182" s="66">
        <v>1</v>
      </c>
      <c r="H182" s="60">
        <v>12.56</v>
      </c>
      <c r="I182" s="60">
        <f t="shared" si="4"/>
        <v>16.158439999999999</v>
      </c>
      <c r="J182" s="60">
        <f t="shared" si="5"/>
        <v>16.158439999999999</v>
      </c>
    </row>
    <row r="183" spans="1:10" s="10" customFormat="1" ht="15" customHeight="1" x14ac:dyDescent="0.2">
      <c r="A183" s="11" t="s">
        <v>366</v>
      </c>
      <c r="B183" s="11" t="s">
        <v>165</v>
      </c>
      <c r="C183" s="11" t="s">
        <v>197</v>
      </c>
      <c r="D183" s="11" t="s">
        <v>429</v>
      </c>
      <c r="E183" s="11" t="s">
        <v>571</v>
      </c>
      <c r="F183" s="6" t="s">
        <v>284</v>
      </c>
      <c r="G183" s="66">
        <v>2</v>
      </c>
      <c r="H183" s="60">
        <v>41.27</v>
      </c>
      <c r="I183" s="60">
        <f t="shared" si="4"/>
        <v>53.093855000000005</v>
      </c>
      <c r="J183" s="60">
        <f t="shared" si="5"/>
        <v>106.18771000000001</v>
      </c>
    </row>
    <row r="184" spans="1:10" s="10" customFormat="1" ht="22.5" customHeight="1" x14ac:dyDescent="0.2">
      <c r="A184" s="11" t="s">
        <v>368</v>
      </c>
      <c r="B184" s="11" t="s">
        <v>348</v>
      </c>
      <c r="C184" s="11" t="s">
        <v>197</v>
      </c>
      <c r="D184" s="11" t="s">
        <v>189</v>
      </c>
      <c r="E184" s="11" t="s">
        <v>571</v>
      </c>
      <c r="F184" s="6" t="s">
        <v>284</v>
      </c>
      <c r="G184" s="66">
        <v>9</v>
      </c>
      <c r="H184" s="60">
        <v>34.270000000000003</v>
      </c>
      <c r="I184" s="60">
        <f t="shared" si="4"/>
        <v>44.088355</v>
      </c>
      <c r="J184" s="60">
        <f t="shared" si="5"/>
        <v>396.79519499999998</v>
      </c>
    </row>
    <row r="185" spans="1:10" s="10" customFormat="1" ht="15" customHeight="1" x14ac:dyDescent="0.2">
      <c r="A185" s="56" t="s">
        <v>371</v>
      </c>
      <c r="B185" s="56"/>
      <c r="C185" s="56"/>
      <c r="D185" s="56" t="s">
        <v>103</v>
      </c>
      <c r="E185" s="56"/>
      <c r="F185" s="56"/>
      <c r="G185" s="67"/>
      <c r="H185" s="58"/>
      <c r="I185" s="61"/>
      <c r="J185" s="63">
        <f>SUM(J186:J189)</f>
        <v>8373.4168200000004</v>
      </c>
    </row>
    <row r="186" spans="1:10" s="10" customFormat="1" ht="37.5" customHeight="1" x14ac:dyDescent="0.2">
      <c r="A186" s="11" t="s">
        <v>294</v>
      </c>
      <c r="B186" s="11" t="s">
        <v>283</v>
      </c>
      <c r="C186" s="11" t="s">
        <v>197</v>
      </c>
      <c r="D186" s="11" t="s">
        <v>110</v>
      </c>
      <c r="E186" s="11" t="s">
        <v>571</v>
      </c>
      <c r="F186" s="6" t="s">
        <v>284</v>
      </c>
      <c r="G186" s="66">
        <v>34</v>
      </c>
      <c r="H186" s="60">
        <v>95.33</v>
      </c>
      <c r="I186" s="60">
        <f t="shared" si="4"/>
        <v>122.642045</v>
      </c>
      <c r="J186" s="60">
        <f t="shared" si="5"/>
        <v>4169.82953</v>
      </c>
    </row>
    <row r="187" spans="1:10" s="10" customFormat="1" ht="15" customHeight="1" x14ac:dyDescent="0.2">
      <c r="A187" s="11" t="s">
        <v>295</v>
      </c>
      <c r="B187" s="11" t="s">
        <v>384</v>
      </c>
      <c r="C187" s="11" t="s">
        <v>344</v>
      </c>
      <c r="D187" s="11" t="s">
        <v>483</v>
      </c>
      <c r="E187" s="11" t="s">
        <v>55</v>
      </c>
      <c r="F187" s="6" t="s">
        <v>244</v>
      </c>
      <c r="G187" s="66">
        <v>6</v>
      </c>
      <c r="H187" s="60">
        <v>111.61</v>
      </c>
      <c r="I187" s="60">
        <f t="shared" si="4"/>
        <v>143.586265</v>
      </c>
      <c r="J187" s="60">
        <f t="shared" si="5"/>
        <v>861.51758999999993</v>
      </c>
    </row>
    <row r="188" spans="1:10" s="10" customFormat="1" ht="22.5" customHeight="1" x14ac:dyDescent="0.2">
      <c r="A188" s="11" t="s">
        <v>296</v>
      </c>
      <c r="B188" s="11" t="s">
        <v>79</v>
      </c>
      <c r="C188" s="11" t="s">
        <v>344</v>
      </c>
      <c r="D188" s="11" t="s">
        <v>134</v>
      </c>
      <c r="E188" s="11" t="s">
        <v>451</v>
      </c>
      <c r="F188" s="6" t="s">
        <v>244</v>
      </c>
      <c r="G188" s="66">
        <v>34</v>
      </c>
      <c r="H188" s="60">
        <v>64.900000000000006</v>
      </c>
      <c r="I188" s="60">
        <f t="shared" si="4"/>
        <v>83.493850000000009</v>
      </c>
      <c r="J188" s="60">
        <f t="shared" si="5"/>
        <v>2838.7909000000004</v>
      </c>
    </row>
    <row r="189" spans="1:10" s="10" customFormat="1" ht="22.5" customHeight="1" x14ac:dyDescent="0.2">
      <c r="A189" s="11" t="s">
        <v>297</v>
      </c>
      <c r="B189" s="11" t="s">
        <v>88</v>
      </c>
      <c r="C189" s="11" t="s">
        <v>344</v>
      </c>
      <c r="D189" s="11" t="s">
        <v>399</v>
      </c>
      <c r="E189" s="11" t="s">
        <v>451</v>
      </c>
      <c r="F189" s="6" t="s">
        <v>162</v>
      </c>
      <c r="G189" s="66">
        <v>6</v>
      </c>
      <c r="H189" s="60">
        <v>65.2</v>
      </c>
      <c r="I189" s="60">
        <f t="shared" si="4"/>
        <v>83.879800000000003</v>
      </c>
      <c r="J189" s="60">
        <f t="shared" si="5"/>
        <v>503.27880000000005</v>
      </c>
    </row>
    <row r="190" spans="1:10" s="10" customFormat="1" ht="15" customHeight="1" x14ac:dyDescent="0.2">
      <c r="A190" s="56" t="s">
        <v>372</v>
      </c>
      <c r="B190" s="56"/>
      <c r="C190" s="56"/>
      <c r="D190" s="56" t="s">
        <v>364</v>
      </c>
      <c r="E190" s="56"/>
      <c r="F190" s="56"/>
      <c r="G190" s="67"/>
      <c r="H190" s="58"/>
      <c r="I190" s="61"/>
      <c r="J190" s="63">
        <f>SUM(J191:J193)</f>
        <v>7556.5690830000003</v>
      </c>
    </row>
    <row r="191" spans="1:10" s="10" customFormat="1" ht="45" customHeight="1" x14ac:dyDescent="0.2">
      <c r="A191" s="11" t="s">
        <v>216</v>
      </c>
      <c r="B191" s="11" t="s">
        <v>174</v>
      </c>
      <c r="C191" s="11" t="s">
        <v>197</v>
      </c>
      <c r="D191" s="11" t="s">
        <v>561</v>
      </c>
      <c r="E191" s="11" t="s">
        <v>571</v>
      </c>
      <c r="F191" s="6" t="s">
        <v>284</v>
      </c>
      <c r="G191" s="66">
        <v>18</v>
      </c>
      <c r="H191" s="60">
        <v>122.76</v>
      </c>
      <c r="I191" s="60">
        <f t="shared" si="4"/>
        <v>157.93074000000001</v>
      </c>
      <c r="J191" s="60">
        <f t="shared" si="5"/>
        <v>2842.7533200000003</v>
      </c>
    </row>
    <row r="192" spans="1:10" s="10" customFormat="1" ht="22.5" customHeight="1" x14ac:dyDescent="0.2">
      <c r="A192" s="11" t="s">
        <v>218</v>
      </c>
      <c r="B192" s="11" t="s">
        <v>503</v>
      </c>
      <c r="C192" s="11" t="s">
        <v>197</v>
      </c>
      <c r="D192" s="11" t="s">
        <v>243</v>
      </c>
      <c r="E192" s="11" t="s">
        <v>571</v>
      </c>
      <c r="F192" s="6" t="s">
        <v>65</v>
      </c>
      <c r="G192" s="66">
        <v>30.4</v>
      </c>
      <c r="H192" s="60">
        <v>44.78</v>
      </c>
      <c r="I192" s="60">
        <f t="shared" si="4"/>
        <v>57.609470000000002</v>
      </c>
      <c r="J192" s="60">
        <f t="shared" si="5"/>
        <v>1751.327888</v>
      </c>
    </row>
    <row r="193" spans="1:10" s="10" customFormat="1" ht="30" customHeight="1" x14ac:dyDescent="0.2">
      <c r="A193" s="11" t="s">
        <v>220</v>
      </c>
      <c r="B193" s="11" t="s">
        <v>268</v>
      </c>
      <c r="C193" s="11" t="s">
        <v>197</v>
      </c>
      <c r="D193" s="11" t="s">
        <v>491</v>
      </c>
      <c r="E193" s="11" t="s">
        <v>571</v>
      </c>
      <c r="F193" s="6" t="s">
        <v>65</v>
      </c>
      <c r="G193" s="66">
        <v>152.5</v>
      </c>
      <c r="H193" s="60">
        <v>15.1</v>
      </c>
      <c r="I193" s="60">
        <f t="shared" si="4"/>
        <v>19.42615</v>
      </c>
      <c r="J193" s="60">
        <f t="shared" si="5"/>
        <v>2962.4878749999998</v>
      </c>
    </row>
    <row r="194" spans="1:10" s="10" customFormat="1" ht="15" customHeight="1" x14ac:dyDescent="0.2">
      <c r="A194" s="56" t="s">
        <v>257</v>
      </c>
      <c r="B194" s="56"/>
      <c r="C194" s="56"/>
      <c r="D194" s="56" t="s">
        <v>556</v>
      </c>
      <c r="E194" s="56"/>
      <c r="F194" s="56"/>
      <c r="G194" s="67"/>
      <c r="H194" s="58"/>
      <c r="I194" s="61"/>
      <c r="J194" s="63">
        <f>SUM(J195:J198)</f>
        <v>3095.203215</v>
      </c>
    </row>
    <row r="195" spans="1:10" s="10" customFormat="1" ht="30" customHeight="1" x14ac:dyDescent="0.2">
      <c r="A195" s="11" t="s">
        <v>298</v>
      </c>
      <c r="B195" s="11" t="s">
        <v>234</v>
      </c>
      <c r="C195" s="11" t="s">
        <v>197</v>
      </c>
      <c r="D195" s="11" t="s">
        <v>447</v>
      </c>
      <c r="E195" s="11" t="s">
        <v>571</v>
      </c>
      <c r="F195" s="6" t="s">
        <v>65</v>
      </c>
      <c r="G195" s="66">
        <v>30</v>
      </c>
      <c r="H195" s="60">
        <v>23.25</v>
      </c>
      <c r="I195" s="60">
        <f t="shared" si="4"/>
        <v>29.911124999999998</v>
      </c>
      <c r="J195" s="60">
        <f t="shared" si="5"/>
        <v>897.33375000000001</v>
      </c>
    </row>
    <row r="196" spans="1:10" s="10" customFormat="1" ht="15" customHeight="1" x14ac:dyDescent="0.2">
      <c r="A196" s="11" t="s">
        <v>300</v>
      </c>
      <c r="B196" s="11" t="s">
        <v>2</v>
      </c>
      <c r="C196" s="11" t="s">
        <v>197</v>
      </c>
      <c r="D196" s="11" t="s">
        <v>207</v>
      </c>
      <c r="E196" s="11" t="s">
        <v>571</v>
      </c>
      <c r="F196" s="6" t="s">
        <v>284</v>
      </c>
      <c r="G196" s="66">
        <v>1</v>
      </c>
      <c r="H196" s="60">
        <v>51.73</v>
      </c>
      <c r="I196" s="60">
        <f t="shared" si="4"/>
        <v>66.550644999999989</v>
      </c>
      <c r="J196" s="60">
        <f t="shared" si="5"/>
        <v>66.550644999999989</v>
      </c>
    </row>
    <row r="197" spans="1:10" s="10" customFormat="1" ht="15" customHeight="1" x14ac:dyDescent="0.2">
      <c r="A197" s="12" t="s">
        <v>301</v>
      </c>
      <c r="B197" s="12" t="s">
        <v>54</v>
      </c>
      <c r="C197" s="12" t="s">
        <v>344</v>
      </c>
      <c r="D197" s="12" t="s">
        <v>58</v>
      </c>
      <c r="E197" s="12" t="s">
        <v>521</v>
      </c>
      <c r="F197" s="8" t="s">
        <v>244</v>
      </c>
      <c r="G197" s="68">
        <v>10</v>
      </c>
      <c r="H197" s="65">
        <v>55</v>
      </c>
      <c r="I197" s="60">
        <f t="shared" si="4"/>
        <v>70.757499999999993</v>
      </c>
      <c r="J197" s="60">
        <f t="shared" si="5"/>
        <v>707.57499999999993</v>
      </c>
    </row>
    <row r="198" spans="1:10" s="10" customFormat="1" ht="22.5" customHeight="1" x14ac:dyDescent="0.2">
      <c r="A198" s="11" t="s">
        <v>302</v>
      </c>
      <c r="B198" s="11" t="s">
        <v>605</v>
      </c>
      <c r="C198" s="11" t="s">
        <v>344</v>
      </c>
      <c r="D198" s="11" t="s">
        <v>170</v>
      </c>
      <c r="E198" s="11" t="s">
        <v>562</v>
      </c>
      <c r="F198" s="6" t="s">
        <v>244</v>
      </c>
      <c r="G198" s="66">
        <v>2</v>
      </c>
      <c r="H198" s="60">
        <v>553.34</v>
      </c>
      <c r="I198" s="60">
        <f t="shared" si="4"/>
        <v>711.87191000000007</v>
      </c>
      <c r="J198" s="60">
        <f t="shared" si="5"/>
        <v>1423.7438200000001</v>
      </c>
    </row>
    <row r="199" spans="1:10" s="10" customFormat="1" ht="15" customHeight="1" x14ac:dyDescent="0.2">
      <c r="A199" s="56" t="s">
        <v>259</v>
      </c>
      <c r="B199" s="56"/>
      <c r="C199" s="56"/>
      <c r="D199" s="56" t="s">
        <v>258</v>
      </c>
      <c r="E199" s="56"/>
      <c r="F199" s="56"/>
      <c r="G199" s="67"/>
      <c r="H199" s="58"/>
      <c r="I199" s="61"/>
      <c r="J199" s="63">
        <f>SUM(J200:J203)</f>
        <v>5761.4040934499999</v>
      </c>
    </row>
    <row r="200" spans="1:10" s="10" customFormat="1" ht="45" customHeight="1" x14ac:dyDescent="0.2">
      <c r="A200" s="11" t="s">
        <v>226</v>
      </c>
      <c r="B200" s="11" t="s">
        <v>501</v>
      </c>
      <c r="C200" s="11" t="s">
        <v>344</v>
      </c>
      <c r="D200" s="11" t="s">
        <v>102</v>
      </c>
      <c r="E200" s="11" t="s">
        <v>157</v>
      </c>
      <c r="F200" s="6" t="s">
        <v>244</v>
      </c>
      <c r="G200" s="66">
        <v>3</v>
      </c>
      <c r="H200" s="60">
        <v>294.70999999999998</v>
      </c>
      <c r="I200" s="60">
        <f t="shared" si="4"/>
        <v>379.14441499999998</v>
      </c>
      <c r="J200" s="60">
        <f t="shared" si="5"/>
        <v>1137.4332449999999</v>
      </c>
    </row>
    <row r="201" spans="1:10" s="10" customFormat="1" ht="15" customHeight="1" x14ac:dyDescent="0.2">
      <c r="A201" s="11" t="s">
        <v>228</v>
      </c>
      <c r="B201" s="11" t="s">
        <v>29</v>
      </c>
      <c r="C201" s="11" t="s">
        <v>344</v>
      </c>
      <c r="D201" s="11" t="s">
        <v>404</v>
      </c>
      <c r="E201" s="11" t="s">
        <v>90</v>
      </c>
      <c r="F201" s="6" t="s">
        <v>307</v>
      </c>
      <c r="G201" s="66">
        <v>26</v>
      </c>
      <c r="H201" s="60">
        <v>61.6</v>
      </c>
      <c r="I201" s="60">
        <f t="shared" ref="I201:I208" si="6">H201*1.2865</f>
        <v>79.248400000000004</v>
      </c>
      <c r="J201" s="60">
        <f t="shared" ref="J201:J208" si="7">G201*I201</f>
        <v>2060.4584</v>
      </c>
    </row>
    <row r="202" spans="1:10" s="10" customFormat="1" ht="22.5" customHeight="1" x14ac:dyDescent="0.2">
      <c r="A202" s="11" t="s">
        <v>229</v>
      </c>
      <c r="B202" s="11" t="s">
        <v>194</v>
      </c>
      <c r="C202" s="11" t="s">
        <v>344</v>
      </c>
      <c r="D202" s="11" t="s">
        <v>99</v>
      </c>
      <c r="E202" s="11" t="s">
        <v>38</v>
      </c>
      <c r="F202" s="6" t="s">
        <v>150</v>
      </c>
      <c r="G202" s="66">
        <v>3.21</v>
      </c>
      <c r="H202" s="60">
        <v>544.92999999999995</v>
      </c>
      <c r="I202" s="60">
        <f t="shared" si="6"/>
        <v>701.05244499999992</v>
      </c>
      <c r="J202" s="60">
        <f t="shared" si="7"/>
        <v>2250.3783484499995</v>
      </c>
    </row>
    <row r="203" spans="1:10" s="10" customFormat="1" ht="30" customHeight="1" x14ac:dyDescent="0.2">
      <c r="A203" s="11" t="s">
        <v>230</v>
      </c>
      <c r="B203" s="11" t="s">
        <v>245</v>
      </c>
      <c r="C203" s="11" t="s">
        <v>197</v>
      </c>
      <c r="D203" s="11" t="s">
        <v>413</v>
      </c>
      <c r="E203" s="11" t="s">
        <v>571</v>
      </c>
      <c r="F203" s="6" t="s">
        <v>65</v>
      </c>
      <c r="G203" s="66">
        <v>5</v>
      </c>
      <c r="H203" s="60">
        <v>48.68</v>
      </c>
      <c r="I203" s="60">
        <f t="shared" si="6"/>
        <v>62.626819999999995</v>
      </c>
      <c r="J203" s="60">
        <f t="shared" si="7"/>
        <v>313.13409999999999</v>
      </c>
    </row>
    <row r="204" spans="1:10" s="10" customFormat="1" ht="15" customHeight="1" x14ac:dyDescent="0.2">
      <c r="A204" s="56" t="s">
        <v>260</v>
      </c>
      <c r="B204" s="56"/>
      <c r="C204" s="56"/>
      <c r="D204" s="56" t="s">
        <v>288</v>
      </c>
      <c r="E204" s="56"/>
      <c r="F204" s="56"/>
      <c r="G204" s="67"/>
      <c r="H204" s="58"/>
      <c r="I204" s="61"/>
      <c r="J204" s="63">
        <f>SUM(J205:J208)</f>
        <v>1634.8422601</v>
      </c>
    </row>
    <row r="205" spans="1:10" s="10" customFormat="1" ht="15" customHeight="1" x14ac:dyDescent="0.2">
      <c r="A205" s="12" t="s">
        <v>144</v>
      </c>
      <c r="B205" s="12" t="s">
        <v>82</v>
      </c>
      <c r="C205" s="12" t="s">
        <v>344</v>
      </c>
      <c r="D205" s="12" t="s">
        <v>607</v>
      </c>
      <c r="E205" s="12" t="s">
        <v>521</v>
      </c>
      <c r="F205" s="8" t="s">
        <v>244</v>
      </c>
      <c r="G205" s="68">
        <v>2</v>
      </c>
      <c r="H205" s="65">
        <v>200</v>
      </c>
      <c r="I205" s="60">
        <f t="shared" si="6"/>
        <v>257.3</v>
      </c>
      <c r="J205" s="60">
        <f t="shared" si="7"/>
        <v>514.6</v>
      </c>
    </row>
    <row r="206" spans="1:10" s="10" customFormat="1" ht="15" customHeight="1" x14ac:dyDescent="0.2">
      <c r="A206" s="11" t="s">
        <v>145</v>
      </c>
      <c r="B206" s="11" t="s">
        <v>114</v>
      </c>
      <c r="C206" s="11" t="s">
        <v>197</v>
      </c>
      <c r="D206" s="11" t="s">
        <v>109</v>
      </c>
      <c r="E206" s="11" t="s">
        <v>179</v>
      </c>
      <c r="F206" s="6" t="s">
        <v>150</v>
      </c>
      <c r="G206" s="66">
        <v>309.25</v>
      </c>
      <c r="H206" s="60">
        <v>1.82</v>
      </c>
      <c r="I206" s="60">
        <f t="shared" si="6"/>
        <v>2.3414299999999999</v>
      </c>
      <c r="J206" s="60">
        <f t="shared" si="7"/>
        <v>724.08722749999993</v>
      </c>
    </row>
    <row r="207" spans="1:10" s="10" customFormat="1" ht="15" customHeight="1" x14ac:dyDescent="0.2">
      <c r="A207" s="11" t="s">
        <v>146</v>
      </c>
      <c r="B207" s="11" t="s">
        <v>529</v>
      </c>
      <c r="C207" s="11" t="s">
        <v>197</v>
      </c>
      <c r="D207" s="11" t="s">
        <v>7</v>
      </c>
      <c r="E207" s="11" t="s">
        <v>477</v>
      </c>
      <c r="F207" s="6" t="s">
        <v>138</v>
      </c>
      <c r="G207" s="66">
        <v>39.58</v>
      </c>
      <c r="H207" s="60">
        <v>6.4</v>
      </c>
      <c r="I207" s="60">
        <f t="shared" si="6"/>
        <v>8.2336000000000009</v>
      </c>
      <c r="J207" s="60">
        <f t="shared" si="7"/>
        <v>325.88588800000002</v>
      </c>
    </row>
    <row r="208" spans="1:10" s="10" customFormat="1" ht="22.5" customHeight="1" x14ac:dyDescent="0.2">
      <c r="A208" s="11" t="s">
        <v>147</v>
      </c>
      <c r="B208" s="11" t="s">
        <v>203</v>
      </c>
      <c r="C208" s="11" t="s">
        <v>197</v>
      </c>
      <c r="D208" s="11" t="s">
        <v>306</v>
      </c>
      <c r="E208" s="11" t="s">
        <v>236</v>
      </c>
      <c r="F208" s="6" t="s">
        <v>580</v>
      </c>
      <c r="G208" s="66">
        <v>39.58</v>
      </c>
      <c r="H208" s="60">
        <v>1.38</v>
      </c>
      <c r="I208" s="60">
        <f t="shared" si="6"/>
        <v>1.7753699999999999</v>
      </c>
      <c r="J208" s="60">
        <f t="shared" si="7"/>
        <v>70.26914459999999</v>
      </c>
    </row>
    <row r="209" spans="1:10" x14ac:dyDescent="0.25">
      <c r="A209" s="5"/>
      <c r="B209" s="5"/>
      <c r="C209" s="5"/>
      <c r="D209" s="5"/>
      <c r="E209" s="5"/>
      <c r="F209" s="5"/>
      <c r="G209" s="5"/>
      <c r="H209" s="69" t="s">
        <v>658</v>
      </c>
      <c r="I209" s="69"/>
      <c r="J209" s="70">
        <f>SUM(J7:J208)/2</f>
        <v>679521.82021309598</v>
      </c>
    </row>
    <row r="210" spans="1:10" x14ac:dyDescent="0.25">
      <c r="A210" s="5"/>
      <c r="B210" s="5"/>
      <c r="C210" s="5"/>
      <c r="D210" s="5"/>
      <c r="E210" s="5"/>
      <c r="F210" s="119"/>
      <c r="G210" s="119"/>
      <c r="H210" s="120"/>
      <c r="I210" s="120"/>
      <c r="J210" s="120"/>
    </row>
    <row r="211" spans="1:10" x14ac:dyDescent="0.25">
      <c r="A211" s="5"/>
      <c r="B211" s="5"/>
      <c r="C211" s="5"/>
      <c r="D211" s="5"/>
      <c r="E211" s="106"/>
      <c r="F211" s="119"/>
      <c r="G211" s="119"/>
      <c r="H211" s="120"/>
      <c r="I211" s="120"/>
      <c r="J211" s="120"/>
    </row>
    <row r="212" spans="1:10" x14ac:dyDescent="0.25">
      <c r="A212" s="5"/>
      <c r="B212" s="5"/>
      <c r="C212" s="5"/>
      <c r="D212" s="5"/>
      <c r="E212" s="5"/>
      <c r="F212" s="119"/>
      <c r="G212" s="119"/>
      <c r="H212" s="120"/>
      <c r="I212" s="120"/>
      <c r="J212" s="120"/>
    </row>
    <row r="213" spans="1:10" ht="75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 ht="39.950000000000003" customHeight="1" x14ac:dyDescent="0.25">
      <c r="A214" s="121" t="s">
        <v>655</v>
      </c>
      <c r="B214" s="121"/>
      <c r="C214" s="121"/>
      <c r="D214" s="121"/>
      <c r="E214" s="121"/>
      <c r="F214" s="121"/>
      <c r="G214" s="121"/>
      <c r="H214" s="121"/>
      <c r="I214" s="121"/>
      <c r="J214" s="121"/>
    </row>
  </sheetData>
  <mergeCells count="18">
    <mergeCell ref="F212:G212"/>
    <mergeCell ref="H212:J212"/>
    <mergeCell ref="A214:J214"/>
    <mergeCell ref="A5:J5"/>
    <mergeCell ref="F210:G210"/>
    <mergeCell ref="H210:J210"/>
    <mergeCell ref="F211:G211"/>
    <mergeCell ref="H211:J211"/>
    <mergeCell ref="I1:J1"/>
    <mergeCell ref="A2:D2"/>
    <mergeCell ref="E2:F2"/>
    <mergeCell ref="G2:H2"/>
    <mergeCell ref="I2:J2"/>
    <mergeCell ref="A3:D3"/>
    <mergeCell ref="A4:D4"/>
    <mergeCell ref="A1:D1"/>
    <mergeCell ref="E1:F1"/>
    <mergeCell ref="G1:H1"/>
  </mergeCells>
  <pageMargins left="0.51181102362204722" right="0.51181102362204722" top="0.74803149606299213" bottom="1.1417322834645669" header="0.31496062992125984" footer="0.31496062992125984"/>
  <pageSetup paperSize="9" scale="51" fitToHeight="0" orientation="portrait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1"/>
  <sheetViews>
    <sheetView topLeftCell="A206" workbookViewId="0">
      <selection activeCell="I1" sqref="A1:J221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  <col min="7" max="8" width="13.7109375" customWidth="1"/>
    <col min="9" max="9" width="15.85546875" customWidth="1"/>
    <col min="10" max="10" width="15.5703125" customWidth="1"/>
  </cols>
  <sheetData>
    <row r="1" spans="1:10" x14ac:dyDescent="0.25">
      <c r="A1" s="111"/>
      <c r="B1" s="112"/>
      <c r="C1" s="112"/>
      <c r="D1" s="112"/>
      <c r="E1" s="112" t="s">
        <v>497</v>
      </c>
      <c r="F1" s="112"/>
      <c r="G1" s="112" t="s">
        <v>445</v>
      </c>
      <c r="H1" s="112"/>
      <c r="I1" s="112" t="s">
        <v>375</v>
      </c>
      <c r="J1" s="113"/>
    </row>
    <row r="2" spans="1:10" ht="117" customHeight="1" thickBot="1" x14ac:dyDescent="0.3">
      <c r="A2" s="169" t="s">
        <v>653</v>
      </c>
      <c r="B2" s="170"/>
      <c r="C2" s="170"/>
      <c r="D2" s="170"/>
      <c r="E2" s="110" t="s">
        <v>158</v>
      </c>
      <c r="F2" s="110"/>
      <c r="G2" s="110" t="s">
        <v>269</v>
      </c>
      <c r="H2" s="110"/>
      <c r="I2" s="110" t="s">
        <v>611</v>
      </c>
      <c r="J2" s="171"/>
    </row>
    <row r="3" spans="1:10" ht="26.25" customHeight="1" thickBot="1" x14ac:dyDescent="0.3">
      <c r="A3" s="161" t="s">
        <v>656</v>
      </c>
      <c r="B3" s="162"/>
      <c r="C3" s="162"/>
      <c r="D3" s="162"/>
      <c r="E3" s="162"/>
      <c r="F3" s="162"/>
      <c r="G3" s="162"/>
      <c r="H3" s="162"/>
      <c r="I3" s="162"/>
      <c r="J3" s="163"/>
    </row>
    <row r="4" spans="1:10" s="2" customFormat="1" ht="22.5" customHeight="1" thickBot="1" x14ac:dyDescent="0.25">
      <c r="A4" s="99" t="s">
        <v>407</v>
      </c>
      <c r="B4" s="100" t="s">
        <v>261</v>
      </c>
      <c r="C4" s="100" t="s">
        <v>104</v>
      </c>
      <c r="D4" s="100" t="s">
        <v>210</v>
      </c>
      <c r="E4" s="100" t="s">
        <v>308</v>
      </c>
      <c r="F4" s="100" t="s">
        <v>159</v>
      </c>
      <c r="G4" s="101" t="s">
        <v>379</v>
      </c>
      <c r="H4" s="167" t="s">
        <v>654</v>
      </c>
      <c r="I4" s="167"/>
      <c r="J4" s="168"/>
    </row>
    <row r="5" spans="1:10" s="10" customFormat="1" ht="15" customHeight="1" x14ac:dyDescent="0.2">
      <c r="A5" s="44" t="s">
        <v>31</v>
      </c>
      <c r="B5" s="44"/>
      <c r="C5" s="44"/>
      <c r="D5" s="44" t="s">
        <v>227</v>
      </c>
      <c r="E5" s="44"/>
      <c r="F5" s="44"/>
      <c r="G5" s="45"/>
      <c r="H5" s="17" t="s">
        <v>612</v>
      </c>
      <c r="I5" s="18" t="s">
        <v>614</v>
      </c>
      <c r="J5" s="34" t="s">
        <v>615</v>
      </c>
    </row>
    <row r="6" spans="1:10" s="10" customFormat="1" ht="15" customHeight="1" x14ac:dyDescent="0.2">
      <c r="A6" s="11" t="s">
        <v>16</v>
      </c>
      <c r="B6" s="11" t="s">
        <v>454</v>
      </c>
      <c r="C6" s="11" t="s">
        <v>197</v>
      </c>
      <c r="D6" s="11" t="s">
        <v>47</v>
      </c>
      <c r="E6" s="11" t="s">
        <v>277</v>
      </c>
      <c r="F6" s="6" t="s">
        <v>150</v>
      </c>
      <c r="G6" s="3">
        <v>4.5</v>
      </c>
      <c r="H6" s="29">
        <v>1.8</v>
      </c>
      <c r="I6" s="23">
        <v>2.5</v>
      </c>
      <c r="J6" s="30"/>
    </row>
    <row r="7" spans="1:10" s="10" customFormat="1" ht="30" customHeight="1" x14ac:dyDescent="0.2">
      <c r="A7" s="11" t="s">
        <v>18</v>
      </c>
      <c r="B7" s="11" t="s">
        <v>67</v>
      </c>
      <c r="C7" s="11" t="s">
        <v>197</v>
      </c>
      <c r="D7" s="11" t="s">
        <v>89</v>
      </c>
      <c r="E7" s="11" t="s">
        <v>273</v>
      </c>
      <c r="F7" s="6" t="s">
        <v>150</v>
      </c>
      <c r="G7" s="3">
        <f>I7*J7</f>
        <v>470.16749999999996</v>
      </c>
      <c r="H7" s="29"/>
      <c r="I7" s="23">
        <f>29.9-5.85-1.5</f>
        <v>22.549999999999997</v>
      </c>
      <c r="J7" s="30">
        <f>30.75-4.8-5.1</f>
        <v>20.85</v>
      </c>
    </row>
    <row r="8" spans="1:10" s="10" customFormat="1" ht="22.5" customHeight="1" x14ac:dyDescent="0.2">
      <c r="A8" s="11" t="s">
        <v>20</v>
      </c>
      <c r="B8" s="11" t="s">
        <v>405</v>
      </c>
      <c r="C8" s="11" t="s">
        <v>197</v>
      </c>
      <c r="D8" s="11" t="s">
        <v>69</v>
      </c>
      <c r="E8" s="11" t="s">
        <v>477</v>
      </c>
      <c r="F8" s="6" t="s">
        <v>150</v>
      </c>
      <c r="G8" s="3">
        <f>(I8+J8)*H8</f>
        <v>70.14</v>
      </c>
      <c r="H8" s="29">
        <v>2.1</v>
      </c>
      <c r="I8" s="23">
        <v>29.9</v>
      </c>
      <c r="J8" s="30">
        <v>3.5</v>
      </c>
    </row>
    <row r="9" spans="1:10" s="10" customFormat="1" ht="22.5" customHeight="1" x14ac:dyDescent="0.2">
      <c r="A9" s="11" t="s">
        <v>21</v>
      </c>
      <c r="B9" s="11" t="s">
        <v>345</v>
      </c>
      <c r="C9" s="11" t="s">
        <v>197</v>
      </c>
      <c r="D9" s="11" t="s">
        <v>427</v>
      </c>
      <c r="E9" s="11" t="s">
        <v>477</v>
      </c>
      <c r="F9" s="6" t="s">
        <v>150</v>
      </c>
      <c r="G9" s="3">
        <f>I9*J9</f>
        <v>919.42499999999995</v>
      </c>
      <c r="H9" s="29"/>
      <c r="I9" s="23">
        <v>29.9</v>
      </c>
      <c r="J9" s="30">
        <v>30.75</v>
      </c>
    </row>
    <row r="10" spans="1:10" s="10" customFormat="1" ht="30" customHeight="1" x14ac:dyDescent="0.2">
      <c r="A10" s="11" t="s">
        <v>22</v>
      </c>
      <c r="B10" s="11" t="s">
        <v>238</v>
      </c>
      <c r="C10" s="11" t="s">
        <v>197</v>
      </c>
      <c r="D10" s="11" t="s">
        <v>480</v>
      </c>
      <c r="E10" s="11" t="s">
        <v>477</v>
      </c>
      <c r="F10" s="6" t="s">
        <v>284</v>
      </c>
      <c r="G10" s="3">
        <v>1</v>
      </c>
      <c r="H10" s="29"/>
      <c r="I10" s="23"/>
      <c r="J10" s="30"/>
    </row>
    <row r="11" spans="1:10" s="10" customFormat="1" ht="15" customHeight="1" x14ac:dyDescent="0.2">
      <c r="A11" s="11" t="s">
        <v>24</v>
      </c>
      <c r="B11" s="11" t="s">
        <v>353</v>
      </c>
      <c r="C11" s="11" t="s">
        <v>100</v>
      </c>
      <c r="D11" s="11" t="s">
        <v>168</v>
      </c>
      <c r="E11" s="11" t="s">
        <v>100</v>
      </c>
      <c r="F11" s="6" t="s">
        <v>284</v>
      </c>
      <c r="G11" s="3">
        <v>1</v>
      </c>
      <c r="H11" s="29"/>
      <c r="I11" s="23"/>
      <c r="J11" s="30"/>
    </row>
    <row r="12" spans="1:10" s="10" customFormat="1" ht="15" customHeight="1" x14ac:dyDescent="0.2">
      <c r="A12" s="11" t="s">
        <v>26</v>
      </c>
      <c r="B12" s="11" t="s">
        <v>374</v>
      </c>
      <c r="C12" s="11" t="s">
        <v>100</v>
      </c>
      <c r="D12" s="11" t="s">
        <v>172</v>
      </c>
      <c r="E12" s="11" t="s">
        <v>100</v>
      </c>
      <c r="F12" s="6" t="s">
        <v>284</v>
      </c>
      <c r="G12" s="3">
        <v>1</v>
      </c>
      <c r="H12" s="29"/>
      <c r="I12" s="23"/>
      <c r="J12" s="30"/>
    </row>
    <row r="13" spans="1:10" s="10" customFormat="1" ht="22.5" customHeight="1" x14ac:dyDescent="0.2">
      <c r="A13" s="11" t="s">
        <v>27</v>
      </c>
      <c r="B13" s="11" t="s">
        <v>510</v>
      </c>
      <c r="C13" s="11" t="s">
        <v>197</v>
      </c>
      <c r="D13" s="11" t="s">
        <v>101</v>
      </c>
      <c r="E13" s="11" t="s">
        <v>277</v>
      </c>
      <c r="F13" s="6" t="s">
        <v>150</v>
      </c>
      <c r="G13" s="3">
        <f>I13*J13</f>
        <v>10</v>
      </c>
      <c r="H13" s="29"/>
      <c r="I13" s="23">
        <v>2.5</v>
      </c>
      <c r="J13" s="30">
        <v>4</v>
      </c>
    </row>
    <row r="14" spans="1:10" s="10" customFormat="1" ht="30" customHeight="1" x14ac:dyDescent="0.2">
      <c r="A14" s="11" t="s">
        <v>28</v>
      </c>
      <c r="B14" s="11" t="s">
        <v>291</v>
      </c>
      <c r="C14" s="11" t="s">
        <v>197</v>
      </c>
      <c r="D14" s="11" t="s">
        <v>175</v>
      </c>
      <c r="E14" s="11" t="s">
        <v>277</v>
      </c>
      <c r="F14" s="6" t="s">
        <v>150</v>
      </c>
      <c r="G14" s="3">
        <f>I14*J14</f>
        <v>40</v>
      </c>
      <c r="H14" s="31"/>
      <c r="I14" s="32">
        <v>4</v>
      </c>
      <c r="J14" s="33">
        <v>10</v>
      </c>
    </row>
    <row r="15" spans="1:10" s="10" customFormat="1" ht="15" customHeight="1" x14ac:dyDescent="0.2">
      <c r="A15" s="9" t="s">
        <v>32</v>
      </c>
      <c r="B15" s="9"/>
      <c r="C15" s="9"/>
      <c r="D15" s="9" t="s">
        <v>500</v>
      </c>
      <c r="E15" s="9"/>
      <c r="F15" s="9"/>
      <c r="G15" s="1"/>
      <c r="H15" s="26" t="s">
        <v>612</v>
      </c>
      <c r="I15" s="27" t="s">
        <v>614</v>
      </c>
      <c r="J15" s="28" t="s">
        <v>616</v>
      </c>
    </row>
    <row r="16" spans="1:10" s="10" customFormat="1" ht="22.5" customHeight="1" x14ac:dyDescent="0.2">
      <c r="A16" s="11" t="s">
        <v>538</v>
      </c>
      <c r="B16" s="11" t="s">
        <v>486</v>
      </c>
      <c r="C16" s="11" t="s">
        <v>197</v>
      </c>
      <c r="D16" s="11" t="s">
        <v>533</v>
      </c>
      <c r="E16" s="11" t="s">
        <v>236</v>
      </c>
      <c r="F16" s="6" t="s">
        <v>151</v>
      </c>
      <c r="G16" s="3">
        <f>J17+(H16*I16*J16)</f>
        <v>50.552999999999997</v>
      </c>
      <c r="H16" s="29">
        <v>0.5</v>
      </c>
      <c r="I16" s="23">
        <v>0.3</v>
      </c>
      <c r="J16" s="30">
        <f>8.47*2+3.37*3+(7.1+8.47+7.03)*4+3.85*16+6.05*4</f>
        <v>203.25</v>
      </c>
    </row>
    <row r="17" spans="1:10" s="10" customFormat="1" ht="22.5" customHeight="1" x14ac:dyDescent="0.2">
      <c r="A17" s="14"/>
      <c r="B17" s="14"/>
      <c r="C17" s="14"/>
      <c r="D17" s="14"/>
      <c r="E17" s="14"/>
      <c r="F17" s="15"/>
      <c r="G17" s="16"/>
      <c r="H17" s="146" t="s">
        <v>617</v>
      </c>
      <c r="I17" s="147"/>
      <c r="J17" s="33">
        <f>(1.75*0.7*0.7*19)+(0.7*0.7*0.7*11)</f>
        <v>20.065499999999997</v>
      </c>
    </row>
    <row r="18" spans="1:10" s="10" customFormat="1" ht="15" customHeight="1" x14ac:dyDescent="0.2">
      <c r="A18" s="11" t="s">
        <v>539</v>
      </c>
      <c r="B18" s="11" t="s">
        <v>13</v>
      </c>
      <c r="C18" s="11" t="s">
        <v>197</v>
      </c>
      <c r="D18" s="11" t="s">
        <v>446</v>
      </c>
      <c r="E18" s="11" t="s">
        <v>236</v>
      </c>
      <c r="F18" s="6" t="s">
        <v>151</v>
      </c>
      <c r="G18" s="3">
        <f>G16*0.4</f>
        <v>20.2212</v>
      </c>
      <c r="H18" s="140" t="s">
        <v>618</v>
      </c>
      <c r="I18" s="141"/>
      <c r="J18" s="142"/>
    </row>
    <row r="19" spans="1:10" s="10" customFormat="1" ht="15" customHeight="1" x14ac:dyDescent="0.2">
      <c r="A19" s="11" t="s">
        <v>540</v>
      </c>
      <c r="B19" s="11" t="s">
        <v>233</v>
      </c>
      <c r="C19" s="11" t="s">
        <v>197</v>
      </c>
      <c r="D19" s="11" t="s">
        <v>525</v>
      </c>
      <c r="E19" s="11" t="s">
        <v>236</v>
      </c>
      <c r="F19" s="6" t="s">
        <v>151</v>
      </c>
      <c r="G19" s="3">
        <v>31.82</v>
      </c>
      <c r="H19" s="29"/>
      <c r="I19" s="23"/>
      <c r="J19" s="30"/>
    </row>
    <row r="20" spans="1:10" s="10" customFormat="1" ht="22.5" customHeight="1" x14ac:dyDescent="0.2">
      <c r="A20" s="11" t="s">
        <v>541</v>
      </c>
      <c r="B20" s="11" t="s">
        <v>591</v>
      </c>
      <c r="C20" s="11" t="s">
        <v>197</v>
      </c>
      <c r="D20" s="11" t="s">
        <v>190</v>
      </c>
      <c r="E20" s="11" t="s">
        <v>236</v>
      </c>
      <c r="F20" s="6" t="s">
        <v>151</v>
      </c>
      <c r="G20" s="3">
        <v>31.82</v>
      </c>
      <c r="H20" s="31"/>
      <c r="I20" s="32"/>
      <c r="J20" s="33"/>
    </row>
    <row r="21" spans="1:10" s="10" customFormat="1" ht="15" customHeight="1" x14ac:dyDescent="0.2">
      <c r="A21" s="9" t="s">
        <v>33</v>
      </c>
      <c r="B21" s="9"/>
      <c r="C21" s="9"/>
      <c r="D21" s="9" t="s">
        <v>354</v>
      </c>
      <c r="E21" s="9"/>
      <c r="F21" s="9"/>
      <c r="G21" s="1"/>
      <c r="H21" s="26" t="s">
        <v>612</v>
      </c>
      <c r="I21" s="27" t="s">
        <v>614</v>
      </c>
      <c r="J21" s="28" t="s">
        <v>615</v>
      </c>
    </row>
    <row r="22" spans="1:10" s="10" customFormat="1" ht="15" customHeight="1" x14ac:dyDescent="0.2">
      <c r="A22" s="159" t="s">
        <v>455</v>
      </c>
      <c r="B22" s="159" t="s">
        <v>330</v>
      </c>
      <c r="C22" s="159" t="s">
        <v>197</v>
      </c>
      <c r="D22" s="159" t="s">
        <v>604</v>
      </c>
      <c r="E22" s="159" t="s">
        <v>252</v>
      </c>
      <c r="F22" s="157" t="s">
        <v>150</v>
      </c>
      <c r="G22" s="155">
        <f>I22*J22+I23*J23</f>
        <v>302.59249999999997</v>
      </c>
      <c r="H22" s="29"/>
      <c r="I22" s="23">
        <v>11.2</v>
      </c>
      <c r="J22" s="30">
        <f>17.25+1.95+3.2</f>
        <v>22.4</v>
      </c>
    </row>
    <row r="23" spans="1:10" s="10" customFormat="1" ht="15" customHeight="1" x14ac:dyDescent="0.2">
      <c r="A23" s="160"/>
      <c r="B23" s="160"/>
      <c r="C23" s="160"/>
      <c r="D23" s="160"/>
      <c r="E23" s="160"/>
      <c r="F23" s="158"/>
      <c r="G23" s="156"/>
      <c r="H23" s="29"/>
      <c r="I23" s="23">
        <f>4.05+1.2</f>
        <v>5.25</v>
      </c>
      <c r="J23" s="30">
        <v>9.85</v>
      </c>
    </row>
    <row r="24" spans="1:10" s="10" customFormat="1" ht="22.5" customHeight="1" x14ac:dyDescent="0.2">
      <c r="A24" s="11" t="s">
        <v>457</v>
      </c>
      <c r="B24" s="11" t="s">
        <v>305</v>
      </c>
      <c r="C24" s="11" t="s">
        <v>197</v>
      </c>
      <c r="D24" s="11" t="s">
        <v>188</v>
      </c>
      <c r="E24" s="11" t="s">
        <v>252</v>
      </c>
      <c r="F24" s="6" t="s">
        <v>150</v>
      </c>
      <c r="G24" s="3">
        <f>G22</f>
        <v>302.59249999999997</v>
      </c>
      <c r="H24" s="143" t="s">
        <v>619</v>
      </c>
      <c r="I24" s="144"/>
      <c r="J24" s="145"/>
    </row>
    <row r="25" spans="1:10" s="10" customFormat="1" ht="22.5" customHeight="1" x14ac:dyDescent="0.2">
      <c r="A25" s="11" t="s">
        <v>458</v>
      </c>
      <c r="B25" s="11" t="s">
        <v>316</v>
      </c>
      <c r="C25" s="11" t="s">
        <v>344</v>
      </c>
      <c r="D25" s="11" t="s">
        <v>161</v>
      </c>
      <c r="E25" s="11" t="s">
        <v>408</v>
      </c>
      <c r="F25" s="6" t="s">
        <v>150</v>
      </c>
      <c r="G25" s="3">
        <f>I25*J25</f>
        <v>20.099999999999998</v>
      </c>
      <c r="H25" s="29"/>
      <c r="I25" s="23">
        <v>6</v>
      </c>
      <c r="J25" s="30">
        <f>1.08+1.08+1.09+0.05+0.05</f>
        <v>3.3499999999999996</v>
      </c>
    </row>
    <row r="26" spans="1:10" s="10" customFormat="1" ht="22.5" customHeight="1" x14ac:dyDescent="0.2">
      <c r="A26" s="11" t="s">
        <v>459</v>
      </c>
      <c r="B26" s="11" t="s">
        <v>507</v>
      </c>
      <c r="C26" s="11" t="s">
        <v>197</v>
      </c>
      <c r="D26" s="11" t="s">
        <v>237</v>
      </c>
      <c r="E26" s="11" t="s">
        <v>252</v>
      </c>
      <c r="F26" s="6" t="s">
        <v>65</v>
      </c>
      <c r="G26" s="3">
        <f>J26</f>
        <v>26.8</v>
      </c>
      <c r="H26" s="29"/>
      <c r="I26" s="23"/>
      <c r="J26" s="30">
        <f>17.25+4.3+5.25</f>
        <v>26.8</v>
      </c>
    </row>
    <row r="27" spans="1:10" s="10" customFormat="1" ht="15" customHeight="1" x14ac:dyDescent="0.2">
      <c r="A27" s="11" t="s">
        <v>460</v>
      </c>
      <c r="B27" s="11" t="s">
        <v>0</v>
      </c>
      <c r="C27" s="11" t="s">
        <v>197</v>
      </c>
      <c r="D27" s="11" t="s">
        <v>412</v>
      </c>
      <c r="E27" s="11" t="s">
        <v>252</v>
      </c>
      <c r="F27" s="6" t="s">
        <v>65</v>
      </c>
      <c r="G27" s="3">
        <f>J27</f>
        <v>39.6</v>
      </c>
      <c r="H27" s="29"/>
      <c r="I27" s="23"/>
      <c r="J27" s="30">
        <f>4.05+4.05+5.95+6.15+5.3+8.95+5.15</f>
        <v>39.6</v>
      </c>
    </row>
    <row r="28" spans="1:10" s="10" customFormat="1" ht="15" customHeight="1" x14ac:dyDescent="0.2">
      <c r="A28" s="11" t="s">
        <v>462</v>
      </c>
      <c r="B28" s="11" t="s">
        <v>4</v>
      </c>
      <c r="C28" s="11" t="s">
        <v>197</v>
      </c>
      <c r="D28" s="11" t="s">
        <v>527</v>
      </c>
      <c r="E28" s="11" t="s">
        <v>252</v>
      </c>
      <c r="F28" s="6" t="s">
        <v>65</v>
      </c>
      <c r="G28" s="3">
        <f>J28</f>
        <v>289.10000000000002</v>
      </c>
      <c r="H28" s="31"/>
      <c r="I28" s="32"/>
      <c r="J28" s="33">
        <v>289.10000000000002</v>
      </c>
    </row>
    <row r="29" spans="1:10" s="10" customFormat="1" ht="15" customHeight="1" x14ac:dyDescent="0.2">
      <c r="A29" s="9" t="s">
        <v>34</v>
      </c>
      <c r="B29" s="9"/>
      <c r="C29" s="9"/>
      <c r="D29" s="9" t="s">
        <v>414</v>
      </c>
      <c r="E29" s="9"/>
      <c r="F29" s="9"/>
      <c r="G29" s="1"/>
      <c r="H29" s="24"/>
      <c r="I29" s="24"/>
      <c r="J29" s="24"/>
    </row>
    <row r="30" spans="1:10" s="10" customFormat="1" ht="15" customHeight="1" x14ac:dyDescent="0.2">
      <c r="A30" s="9" t="s">
        <v>388</v>
      </c>
      <c r="B30" s="9"/>
      <c r="C30" s="9"/>
      <c r="D30" s="9" t="s">
        <v>173</v>
      </c>
      <c r="E30" s="9"/>
      <c r="F30" s="9"/>
      <c r="G30" s="1"/>
      <c r="H30" s="26" t="s">
        <v>613</v>
      </c>
      <c r="I30" s="27" t="s">
        <v>614</v>
      </c>
      <c r="J30" s="28" t="s">
        <v>615</v>
      </c>
    </row>
    <row r="31" spans="1:10" s="10" customFormat="1" ht="22.5" customHeight="1" x14ac:dyDescent="0.2">
      <c r="A31" s="11" t="s">
        <v>56</v>
      </c>
      <c r="B31" s="11" t="s">
        <v>251</v>
      </c>
      <c r="C31" s="11" t="s">
        <v>197</v>
      </c>
      <c r="D31" s="11" t="s">
        <v>496</v>
      </c>
      <c r="E31" s="11" t="s">
        <v>154</v>
      </c>
      <c r="F31" s="6" t="s">
        <v>65</v>
      </c>
      <c r="G31" s="3">
        <f>H31*J31</f>
        <v>343</v>
      </c>
      <c r="H31" s="29">
        <v>49</v>
      </c>
      <c r="I31" s="23"/>
      <c r="J31" s="30">
        <v>7</v>
      </c>
    </row>
    <row r="32" spans="1:10" s="10" customFormat="1" x14ac:dyDescent="0.2">
      <c r="A32" s="14"/>
      <c r="B32" s="14"/>
      <c r="C32" s="14"/>
      <c r="D32" s="14"/>
      <c r="E32" s="14"/>
      <c r="F32" s="15"/>
      <c r="G32" s="16"/>
      <c r="H32" s="17" t="s">
        <v>613</v>
      </c>
      <c r="I32" s="18" t="s">
        <v>645</v>
      </c>
      <c r="J32" s="34" t="s">
        <v>615</v>
      </c>
    </row>
    <row r="33" spans="1:10" s="10" customFormat="1" ht="22.5" customHeight="1" x14ac:dyDescent="0.2">
      <c r="A33" s="11" t="s">
        <v>57</v>
      </c>
      <c r="B33" s="11" t="s">
        <v>557</v>
      </c>
      <c r="C33" s="11" t="s">
        <v>197</v>
      </c>
      <c r="D33" s="11" t="s">
        <v>177</v>
      </c>
      <c r="E33" s="11" t="s">
        <v>154</v>
      </c>
      <c r="F33" s="6" t="s">
        <v>107</v>
      </c>
      <c r="G33" s="3">
        <f>(I33*J33)*H33</f>
        <v>1146.5999999999999</v>
      </c>
      <c r="H33" s="29">
        <v>49</v>
      </c>
      <c r="I33" s="23">
        <v>4.68</v>
      </c>
      <c r="J33" s="30">
        <v>5</v>
      </c>
    </row>
    <row r="34" spans="1:10" s="10" customFormat="1" x14ac:dyDescent="0.2">
      <c r="A34" s="14"/>
      <c r="B34" s="14"/>
      <c r="C34" s="14"/>
      <c r="D34" s="14"/>
      <c r="E34" s="14"/>
      <c r="F34" s="15"/>
      <c r="G34" s="16"/>
      <c r="H34" s="17" t="s">
        <v>612</v>
      </c>
      <c r="I34" s="18" t="s">
        <v>614</v>
      </c>
      <c r="J34" s="34" t="s">
        <v>616</v>
      </c>
    </row>
    <row r="35" spans="1:10" s="10" customFormat="1" ht="15" customHeight="1" x14ac:dyDescent="0.2">
      <c r="A35" s="11" t="s">
        <v>59</v>
      </c>
      <c r="B35" s="11" t="s">
        <v>343</v>
      </c>
      <c r="C35" s="11" t="s">
        <v>197</v>
      </c>
      <c r="D35" s="11" t="s">
        <v>347</v>
      </c>
      <c r="E35" s="11" t="s">
        <v>154</v>
      </c>
      <c r="F35" s="6" t="s">
        <v>151</v>
      </c>
      <c r="G35" s="21">
        <f>H35*I35*J35</f>
        <v>3.0487500000000001</v>
      </c>
      <c r="H35" s="29">
        <v>0.05</v>
      </c>
      <c r="I35" s="23">
        <v>0.3</v>
      </c>
      <c r="J35" s="30">
        <f>8.47*2+3.37*3+(7.1+8.47+7.03)*4+3.85*16+6.05*4</f>
        <v>203.25</v>
      </c>
    </row>
    <row r="36" spans="1:10" s="10" customFormat="1" ht="15" customHeight="1" x14ac:dyDescent="0.2">
      <c r="A36" s="14"/>
      <c r="B36" s="14"/>
      <c r="C36" s="14"/>
      <c r="D36" s="14"/>
      <c r="E36" s="14"/>
      <c r="F36" s="15"/>
      <c r="G36" s="22"/>
      <c r="H36" s="17" t="s">
        <v>613</v>
      </c>
      <c r="I36" s="18" t="s">
        <v>646</v>
      </c>
      <c r="J36" s="34" t="s">
        <v>616</v>
      </c>
    </row>
    <row r="37" spans="1:10" s="10" customFormat="1" ht="15" customHeight="1" x14ac:dyDescent="0.2">
      <c r="A37" s="11" t="s">
        <v>60</v>
      </c>
      <c r="B37" s="11" t="s">
        <v>15</v>
      </c>
      <c r="C37" s="11" t="s">
        <v>197</v>
      </c>
      <c r="D37" s="11" t="s">
        <v>78</v>
      </c>
      <c r="E37" s="11" t="s">
        <v>154</v>
      </c>
      <c r="F37" s="6" t="s">
        <v>150</v>
      </c>
      <c r="G37" s="3">
        <f>(I37*J37)*H37</f>
        <v>130.34</v>
      </c>
      <c r="H37" s="29">
        <v>38</v>
      </c>
      <c r="I37" s="23">
        <v>0.7</v>
      </c>
      <c r="J37" s="30">
        <f>1.75+1.75+0.7+0.7</f>
        <v>4.9000000000000004</v>
      </c>
    </row>
    <row r="38" spans="1:10" s="10" customFormat="1" ht="15" customHeight="1" x14ac:dyDescent="0.2">
      <c r="A38" s="14"/>
      <c r="B38" s="14"/>
      <c r="C38" s="14"/>
      <c r="D38" s="14"/>
      <c r="E38" s="14"/>
      <c r="F38" s="15"/>
      <c r="G38" s="16"/>
      <c r="H38" s="17" t="s">
        <v>613</v>
      </c>
      <c r="I38" s="18" t="s">
        <v>647</v>
      </c>
      <c r="J38" s="34"/>
    </row>
    <row r="39" spans="1:10" s="10" customFormat="1" ht="22.5" customHeight="1" x14ac:dyDescent="0.2">
      <c r="A39" s="11" t="s">
        <v>61</v>
      </c>
      <c r="B39" s="11" t="s">
        <v>557</v>
      </c>
      <c r="C39" s="11" t="s">
        <v>197</v>
      </c>
      <c r="D39" s="11" t="s">
        <v>177</v>
      </c>
      <c r="E39" s="11" t="s">
        <v>154</v>
      </c>
      <c r="F39" s="6" t="s">
        <v>107</v>
      </c>
      <c r="G39" s="3">
        <f>H39*I39</f>
        <v>735</v>
      </c>
      <c r="H39" s="29">
        <v>49</v>
      </c>
      <c r="I39" s="23">
        <v>15</v>
      </c>
      <c r="J39" s="30"/>
    </row>
    <row r="40" spans="1:10" s="10" customFormat="1" ht="22.5" customHeight="1" x14ac:dyDescent="0.2">
      <c r="A40" s="11" t="s">
        <v>63</v>
      </c>
      <c r="B40" s="11" t="s">
        <v>321</v>
      </c>
      <c r="C40" s="11" t="s">
        <v>197</v>
      </c>
      <c r="D40" s="11" t="s">
        <v>25</v>
      </c>
      <c r="E40" s="11" t="s">
        <v>154</v>
      </c>
      <c r="F40" s="6" t="s">
        <v>107</v>
      </c>
      <c r="G40" s="3"/>
      <c r="H40" s="29"/>
      <c r="I40" s="23"/>
      <c r="J40" s="30"/>
    </row>
    <row r="41" spans="1:10" s="10" customFormat="1" ht="15" customHeight="1" x14ac:dyDescent="0.2">
      <c r="A41" s="11" t="s">
        <v>64</v>
      </c>
      <c r="B41" s="11" t="s">
        <v>337</v>
      </c>
      <c r="C41" s="11" t="s">
        <v>197</v>
      </c>
      <c r="D41" s="11" t="s">
        <v>193</v>
      </c>
      <c r="E41" s="11" t="s">
        <v>154</v>
      </c>
      <c r="F41" s="6" t="s">
        <v>151</v>
      </c>
      <c r="G41" s="3">
        <f>17.5+20.06</f>
        <v>37.56</v>
      </c>
      <c r="H41" s="137" t="s">
        <v>648</v>
      </c>
      <c r="I41" s="138"/>
      <c r="J41" s="139"/>
    </row>
    <row r="42" spans="1:10" s="10" customFormat="1" ht="15" customHeight="1" x14ac:dyDescent="0.2">
      <c r="A42" s="9" t="s">
        <v>389</v>
      </c>
      <c r="B42" s="9"/>
      <c r="C42" s="9"/>
      <c r="D42" s="9" t="s">
        <v>428</v>
      </c>
      <c r="E42" s="9"/>
      <c r="F42" s="9"/>
      <c r="G42" s="1"/>
      <c r="H42" s="140" t="s">
        <v>649</v>
      </c>
      <c r="I42" s="141"/>
      <c r="J42" s="142"/>
    </row>
    <row r="43" spans="1:10" s="10" customFormat="1" ht="37.5" customHeight="1" x14ac:dyDescent="0.2">
      <c r="A43" s="11" t="s">
        <v>566</v>
      </c>
      <c r="B43" s="11" t="s">
        <v>131</v>
      </c>
      <c r="C43" s="11" t="s">
        <v>197</v>
      </c>
      <c r="D43" s="11" t="s">
        <v>41</v>
      </c>
      <c r="E43" s="11" t="s">
        <v>154</v>
      </c>
      <c r="F43" s="6" t="s">
        <v>150</v>
      </c>
      <c r="G43" s="3">
        <v>317.39</v>
      </c>
      <c r="H43" s="143"/>
      <c r="I43" s="144"/>
      <c r="J43" s="145"/>
    </row>
    <row r="44" spans="1:10" s="10" customFormat="1" ht="22.5" customHeight="1" x14ac:dyDescent="0.2">
      <c r="A44" s="11" t="s">
        <v>567</v>
      </c>
      <c r="B44" s="11" t="s">
        <v>557</v>
      </c>
      <c r="C44" s="11" t="s">
        <v>197</v>
      </c>
      <c r="D44" s="11" t="s">
        <v>177</v>
      </c>
      <c r="E44" s="11" t="s">
        <v>154</v>
      </c>
      <c r="F44" s="6" t="s">
        <v>107</v>
      </c>
      <c r="G44" s="3">
        <v>1454.95</v>
      </c>
      <c r="H44" s="143"/>
      <c r="I44" s="144"/>
      <c r="J44" s="145"/>
    </row>
    <row r="45" spans="1:10" s="10" customFormat="1" ht="22.5" customHeight="1" x14ac:dyDescent="0.2">
      <c r="A45" s="11" t="s">
        <v>569</v>
      </c>
      <c r="B45" s="11" t="s">
        <v>321</v>
      </c>
      <c r="C45" s="11" t="s">
        <v>197</v>
      </c>
      <c r="D45" s="11" t="s">
        <v>25</v>
      </c>
      <c r="E45" s="11" t="s">
        <v>154</v>
      </c>
      <c r="F45" s="6" t="s">
        <v>107</v>
      </c>
      <c r="G45" s="3">
        <v>594.28</v>
      </c>
      <c r="H45" s="143"/>
      <c r="I45" s="144"/>
      <c r="J45" s="145"/>
    </row>
    <row r="46" spans="1:10" s="10" customFormat="1" ht="15" customHeight="1" x14ac:dyDescent="0.2">
      <c r="A46" s="11" t="s">
        <v>570</v>
      </c>
      <c r="B46" s="11" t="s">
        <v>337</v>
      </c>
      <c r="C46" s="11" t="s">
        <v>197</v>
      </c>
      <c r="D46" s="11" t="s">
        <v>193</v>
      </c>
      <c r="E46" s="11" t="s">
        <v>154</v>
      </c>
      <c r="F46" s="6" t="s">
        <v>151</v>
      </c>
      <c r="G46" s="3">
        <v>18.78</v>
      </c>
      <c r="H46" s="143"/>
      <c r="I46" s="144"/>
      <c r="J46" s="145"/>
    </row>
    <row r="47" spans="1:10" s="10" customFormat="1" ht="37.5" customHeight="1" x14ac:dyDescent="0.2">
      <c r="A47" s="11" t="s">
        <v>573</v>
      </c>
      <c r="B47" s="11" t="s">
        <v>485</v>
      </c>
      <c r="C47" s="11" t="s">
        <v>197</v>
      </c>
      <c r="D47" s="11" t="s">
        <v>169</v>
      </c>
      <c r="E47" s="11" t="s">
        <v>154</v>
      </c>
      <c r="F47" s="6" t="s">
        <v>150</v>
      </c>
      <c r="G47" s="3">
        <v>303.42</v>
      </c>
      <c r="H47" s="143"/>
      <c r="I47" s="144"/>
      <c r="J47" s="145"/>
    </row>
    <row r="48" spans="1:10" s="10" customFormat="1" ht="30" customHeight="1" x14ac:dyDescent="0.2">
      <c r="A48" s="11" t="s">
        <v>574</v>
      </c>
      <c r="B48" s="11" t="s">
        <v>155</v>
      </c>
      <c r="C48" s="11" t="s">
        <v>197</v>
      </c>
      <c r="D48" s="11" t="s">
        <v>232</v>
      </c>
      <c r="E48" s="11" t="s">
        <v>154</v>
      </c>
      <c r="F48" s="6" t="s">
        <v>65</v>
      </c>
      <c r="G48" s="3">
        <v>152.19999999999999</v>
      </c>
      <c r="H48" s="146"/>
      <c r="I48" s="147"/>
      <c r="J48" s="148"/>
    </row>
    <row r="49" spans="1:10" s="10" customFormat="1" ht="15" customHeight="1" x14ac:dyDescent="0.2">
      <c r="A49" s="9" t="s">
        <v>35</v>
      </c>
      <c r="B49" s="9"/>
      <c r="C49" s="9"/>
      <c r="D49" s="9" t="s">
        <v>68</v>
      </c>
      <c r="E49" s="9"/>
      <c r="F49" s="9"/>
      <c r="G49" s="1"/>
      <c r="H49" s="18" t="s">
        <v>620</v>
      </c>
      <c r="I49" s="18" t="s">
        <v>612</v>
      </c>
      <c r="J49" s="18" t="s">
        <v>616</v>
      </c>
    </row>
    <row r="50" spans="1:10" s="10" customFormat="1" ht="45" customHeight="1" x14ac:dyDescent="0.2">
      <c r="A50" s="11" t="s">
        <v>324</v>
      </c>
      <c r="B50" s="11" t="s">
        <v>327</v>
      </c>
      <c r="C50" s="11" t="s">
        <v>197</v>
      </c>
      <c r="D50" s="11" t="s">
        <v>558</v>
      </c>
      <c r="E50" s="11" t="s">
        <v>208</v>
      </c>
      <c r="F50" s="6" t="s">
        <v>150</v>
      </c>
      <c r="G50" s="3">
        <f>I50*J50+H50</f>
        <v>724.38499999999999</v>
      </c>
      <c r="H50" s="23">
        <f>(1.15*(1.8+1.85+5.45+3.65+2.15+3.75+9.7+1.5+3.15+1.35+2.95+6.05+7.1+9.6+10.6+1.85+1.8))+((3.9*4)*3.4)</f>
        <v>138.48499999999999</v>
      </c>
      <c r="I50" s="23">
        <v>2.8</v>
      </c>
      <c r="J50" s="23">
        <f>((0.6+5.85+1.85+2.6)*4)+((8.4+0.3+1.8)*2)+((0.6+1.2+2.65+2.8)*2)+((0.45+0.8+2.8)*7)+(3.6+3.6+3.6+2.6+1.5+2.6+1.5+12)+(3.5*9)+(2*2)+(3.5*7)+(1.8*6)</f>
        <v>209.25</v>
      </c>
    </row>
    <row r="51" spans="1:10" s="10" customFormat="1" ht="15" customHeight="1" x14ac:dyDescent="0.2">
      <c r="A51" s="9" t="s">
        <v>326</v>
      </c>
      <c r="B51" s="9"/>
      <c r="C51" s="9"/>
      <c r="D51" s="9" t="s">
        <v>105</v>
      </c>
      <c r="E51" s="9"/>
      <c r="F51" s="9"/>
      <c r="G51" s="1"/>
      <c r="H51" s="35"/>
      <c r="I51" s="27" t="s">
        <v>612</v>
      </c>
      <c r="J51" s="28" t="s">
        <v>616</v>
      </c>
    </row>
    <row r="52" spans="1:10" s="10" customFormat="1" ht="45" customHeight="1" x14ac:dyDescent="0.2">
      <c r="A52" s="11" t="s">
        <v>142</v>
      </c>
      <c r="B52" s="11" t="s">
        <v>327</v>
      </c>
      <c r="C52" s="11" t="s">
        <v>197</v>
      </c>
      <c r="D52" s="11" t="s">
        <v>558</v>
      </c>
      <c r="E52" s="11" t="s">
        <v>208</v>
      </c>
      <c r="F52" s="6" t="s">
        <v>150</v>
      </c>
      <c r="G52" s="3">
        <f>I52*J52</f>
        <v>182.8</v>
      </c>
      <c r="H52" s="31"/>
      <c r="I52" s="32">
        <v>2</v>
      </c>
      <c r="J52" s="33">
        <f>(30.75*2)+29.9</f>
        <v>91.4</v>
      </c>
    </row>
    <row r="53" spans="1:10" s="10" customFormat="1" ht="15" customHeight="1" x14ac:dyDescent="0.2">
      <c r="A53" s="9" t="s">
        <v>36</v>
      </c>
      <c r="B53" s="9"/>
      <c r="C53" s="9"/>
      <c r="D53" s="9" t="s">
        <v>153</v>
      </c>
      <c r="E53" s="9"/>
      <c r="F53" s="9"/>
      <c r="G53" s="1"/>
      <c r="H53" s="26" t="s">
        <v>612</v>
      </c>
      <c r="I53" s="27" t="s">
        <v>614</v>
      </c>
      <c r="J53" s="28" t="s">
        <v>616</v>
      </c>
    </row>
    <row r="54" spans="1:10" s="10" customFormat="1" ht="22.5" customHeight="1" x14ac:dyDescent="0.2">
      <c r="A54" s="11" t="s">
        <v>239</v>
      </c>
      <c r="B54" s="11" t="s">
        <v>504</v>
      </c>
      <c r="C54" s="11" t="s">
        <v>197</v>
      </c>
      <c r="D54" s="11" t="s">
        <v>87</v>
      </c>
      <c r="E54" s="11" t="s">
        <v>317</v>
      </c>
      <c r="F54" s="6" t="s">
        <v>150</v>
      </c>
      <c r="G54" s="3">
        <f>J54*H54</f>
        <v>81.300000000000011</v>
      </c>
      <c r="H54" s="31">
        <v>0.4</v>
      </c>
      <c r="I54" s="32"/>
      <c r="J54" s="33">
        <f>8.47*2+3.37*3+(7.1+8.47+7.03)*4+3.85*16+6.05*4</f>
        <v>203.25</v>
      </c>
    </row>
    <row r="55" spans="1:10" s="10" customFormat="1" ht="24" x14ac:dyDescent="0.2">
      <c r="A55" s="14"/>
      <c r="B55" s="14"/>
      <c r="C55" s="14"/>
      <c r="D55" s="14"/>
      <c r="E55" s="14"/>
      <c r="F55" s="15"/>
      <c r="G55" s="16"/>
      <c r="H55" s="26"/>
      <c r="I55" s="36" t="s">
        <v>622</v>
      </c>
      <c r="J55" s="37" t="s">
        <v>621</v>
      </c>
    </row>
    <row r="56" spans="1:10" s="10" customFormat="1" ht="22.5" customHeight="1" x14ac:dyDescent="0.2">
      <c r="A56" s="11" t="s">
        <v>240</v>
      </c>
      <c r="B56" s="11" t="s">
        <v>369</v>
      </c>
      <c r="C56" s="11" t="s">
        <v>197</v>
      </c>
      <c r="D56" s="11" t="s">
        <v>418</v>
      </c>
      <c r="E56" s="11" t="s">
        <v>317</v>
      </c>
      <c r="F56" s="6" t="s">
        <v>150</v>
      </c>
      <c r="G56" s="3">
        <f>I56+J56</f>
        <v>11.15</v>
      </c>
      <c r="H56" s="29"/>
      <c r="I56" s="23">
        <f>2*0.8</f>
        <v>1.6</v>
      </c>
      <c r="J56" s="30">
        <f>5.15+4.4</f>
        <v>9.5500000000000007</v>
      </c>
    </row>
    <row r="57" spans="1:10" s="10" customFormat="1" ht="22.5" customHeight="1" x14ac:dyDescent="0.2">
      <c r="A57" s="11" t="s">
        <v>241</v>
      </c>
      <c r="B57" s="11" t="s">
        <v>385</v>
      </c>
      <c r="C57" s="11" t="s">
        <v>197</v>
      </c>
      <c r="D57" s="11" t="s">
        <v>85</v>
      </c>
      <c r="E57" s="11" t="s">
        <v>317</v>
      </c>
      <c r="F57" s="6" t="s">
        <v>150</v>
      </c>
      <c r="G57" s="3">
        <f>G56</f>
        <v>11.15</v>
      </c>
      <c r="H57" s="31"/>
      <c r="I57" s="32"/>
      <c r="J57" s="33"/>
    </row>
    <row r="58" spans="1:10" s="10" customFormat="1" ht="15" customHeight="1" x14ac:dyDescent="0.2">
      <c r="A58" s="9" t="s">
        <v>37</v>
      </c>
      <c r="B58" s="9"/>
      <c r="C58" s="9"/>
      <c r="D58" s="9" t="s">
        <v>606</v>
      </c>
      <c r="E58" s="9"/>
      <c r="F58" s="9"/>
      <c r="G58" s="1"/>
      <c r="H58" s="24"/>
      <c r="I58" s="24"/>
      <c r="J58" s="24"/>
    </row>
    <row r="59" spans="1:10" s="10" customFormat="1" ht="24" x14ac:dyDescent="0.2">
      <c r="A59" s="9" t="s">
        <v>163</v>
      </c>
      <c r="B59" s="9"/>
      <c r="C59" s="9"/>
      <c r="D59" s="9" t="s">
        <v>438</v>
      </c>
      <c r="E59" s="9"/>
      <c r="F59" s="9"/>
      <c r="G59" s="1"/>
      <c r="H59" s="38"/>
      <c r="I59" s="39" t="s">
        <v>651</v>
      </c>
      <c r="J59" s="40" t="s">
        <v>650</v>
      </c>
    </row>
    <row r="60" spans="1:10" s="10" customFormat="1" ht="37.5" customHeight="1" x14ac:dyDescent="0.2">
      <c r="A60" s="11" t="s">
        <v>543</v>
      </c>
      <c r="B60" s="11" t="s">
        <v>395</v>
      </c>
      <c r="C60" s="11" t="s">
        <v>197</v>
      </c>
      <c r="D60" s="11" t="s">
        <v>421</v>
      </c>
      <c r="E60" s="11" t="s">
        <v>349</v>
      </c>
      <c r="F60" s="6" t="s">
        <v>150</v>
      </c>
      <c r="G60" s="3">
        <f>J60+I60</f>
        <v>281.2</v>
      </c>
      <c r="H60" s="29"/>
      <c r="I60" s="23">
        <f>8*6.05</f>
        <v>48.4</v>
      </c>
      <c r="J60" s="30">
        <f>9.6*(10.8+8+5.45)</f>
        <v>232.79999999999998</v>
      </c>
    </row>
    <row r="61" spans="1:10" s="10" customFormat="1" ht="22.5" customHeight="1" x14ac:dyDescent="0.2">
      <c r="A61" s="11" t="s">
        <v>544</v>
      </c>
      <c r="B61" s="11" t="s">
        <v>139</v>
      </c>
      <c r="C61" s="11" t="s">
        <v>197</v>
      </c>
      <c r="D61" s="11" t="s">
        <v>9</v>
      </c>
      <c r="E61" s="11" t="s">
        <v>349</v>
      </c>
      <c r="F61" s="6" t="s">
        <v>150</v>
      </c>
      <c r="G61" s="3">
        <f>G60</f>
        <v>281.2</v>
      </c>
      <c r="H61" s="31"/>
      <c r="I61" s="32"/>
      <c r="J61" s="33"/>
    </row>
    <row r="62" spans="1:10" s="10" customFormat="1" ht="37.5" customHeight="1" x14ac:dyDescent="0.2">
      <c r="A62" s="11" t="s">
        <v>546</v>
      </c>
      <c r="B62" s="11" t="s">
        <v>603</v>
      </c>
      <c r="C62" s="11" t="s">
        <v>197</v>
      </c>
      <c r="D62" s="11" t="s">
        <v>492</v>
      </c>
      <c r="E62" s="11" t="s">
        <v>349</v>
      </c>
      <c r="F62" s="6" t="s">
        <v>150</v>
      </c>
      <c r="G62" s="3">
        <f>85.38+82.22+4.1+3.17+9.53+14.41</f>
        <v>198.80999999999997</v>
      </c>
      <c r="H62" s="125" t="s">
        <v>623</v>
      </c>
      <c r="I62" s="126"/>
      <c r="J62" s="127"/>
    </row>
    <row r="63" spans="1:10" s="10" customFormat="1" ht="30" customHeight="1" x14ac:dyDescent="0.2">
      <c r="A63" s="11" t="s">
        <v>547</v>
      </c>
      <c r="B63" s="11" t="s">
        <v>346</v>
      </c>
      <c r="C63" s="11" t="s">
        <v>197</v>
      </c>
      <c r="D63" s="11" t="s">
        <v>195</v>
      </c>
      <c r="E63" s="11" t="s">
        <v>598</v>
      </c>
      <c r="F63" s="6" t="s">
        <v>150</v>
      </c>
      <c r="G63" s="3">
        <f>40.08+20.95+22.5</f>
        <v>83.53</v>
      </c>
      <c r="H63" s="128" t="s">
        <v>624</v>
      </c>
      <c r="I63" s="129"/>
      <c r="J63" s="130"/>
    </row>
    <row r="64" spans="1:10" s="10" customFormat="1" ht="22.5" customHeight="1" x14ac:dyDescent="0.2">
      <c r="A64" s="11" t="s">
        <v>548</v>
      </c>
      <c r="B64" s="11" t="s">
        <v>8</v>
      </c>
      <c r="C64" s="11" t="s">
        <v>197</v>
      </c>
      <c r="D64" s="11" t="s">
        <v>575</v>
      </c>
      <c r="E64" s="11" t="s">
        <v>154</v>
      </c>
      <c r="F64" s="6" t="s">
        <v>151</v>
      </c>
      <c r="G64" s="3">
        <v>142.88999999999999</v>
      </c>
      <c r="H64" s="128" t="s">
        <v>625</v>
      </c>
      <c r="I64" s="129"/>
      <c r="J64" s="130"/>
    </row>
    <row r="65" spans="1:10" s="10" customFormat="1" ht="37.5" customHeight="1" x14ac:dyDescent="0.2">
      <c r="A65" s="11" t="s">
        <v>549</v>
      </c>
      <c r="B65" s="11" t="s">
        <v>318</v>
      </c>
      <c r="C65" s="11" t="s">
        <v>197</v>
      </c>
      <c r="D65" s="11" t="s">
        <v>453</v>
      </c>
      <c r="E65" s="11" t="s">
        <v>577</v>
      </c>
      <c r="F65" s="6" t="s">
        <v>65</v>
      </c>
      <c r="G65" s="3">
        <v>29.9</v>
      </c>
      <c r="H65" s="128" t="s">
        <v>626</v>
      </c>
      <c r="I65" s="129"/>
      <c r="J65" s="130"/>
    </row>
    <row r="66" spans="1:10" s="10" customFormat="1" ht="22.5" customHeight="1" x14ac:dyDescent="0.2">
      <c r="A66" s="11" t="s">
        <v>550</v>
      </c>
      <c r="B66" s="11" t="s">
        <v>212</v>
      </c>
      <c r="C66" s="11" t="s">
        <v>197</v>
      </c>
      <c r="D66" s="11" t="s">
        <v>422</v>
      </c>
      <c r="E66" s="11" t="s">
        <v>577</v>
      </c>
      <c r="F66" s="6" t="s">
        <v>65</v>
      </c>
      <c r="G66" s="3">
        <v>29.9</v>
      </c>
      <c r="H66" s="128" t="s">
        <v>626</v>
      </c>
      <c r="I66" s="129"/>
      <c r="J66" s="130"/>
    </row>
    <row r="67" spans="1:10" s="10" customFormat="1" ht="30" customHeight="1" x14ac:dyDescent="0.2">
      <c r="A67" s="11" t="s">
        <v>551</v>
      </c>
      <c r="B67" s="11" t="s">
        <v>211</v>
      </c>
      <c r="C67" s="11" t="s">
        <v>197</v>
      </c>
      <c r="D67" s="11" t="s">
        <v>545</v>
      </c>
      <c r="E67" s="11" t="s">
        <v>349</v>
      </c>
      <c r="F67" s="6" t="s">
        <v>150</v>
      </c>
      <c r="G67" s="3">
        <f>G61</f>
        <v>281.2</v>
      </c>
      <c r="H67" s="128" t="s">
        <v>627</v>
      </c>
      <c r="I67" s="129"/>
      <c r="J67" s="130"/>
    </row>
    <row r="68" spans="1:10" s="10" customFormat="1" ht="37.5" customHeight="1" x14ac:dyDescent="0.2">
      <c r="A68" s="11" t="s">
        <v>553</v>
      </c>
      <c r="B68" s="11" t="s">
        <v>376</v>
      </c>
      <c r="C68" s="11" t="s">
        <v>344</v>
      </c>
      <c r="D68" s="11" t="s">
        <v>80</v>
      </c>
      <c r="E68" s="11" t="s">
        <v>250</v>
      </c>
      <c r="F68" s="6" t="s">
        <v>83</v>
      </c>
      <c r="G68" s="3">
        <f>J50</f>
        <v>209.25</v>
      </c>
      <c r="H68" s="128" t="s">
        <v>628</v>
      </c>
      <c r="I68" s="129"/>
      <c r="J68" s="130"/>
    </row>
    <row r="69" spans="1:10" s="10" customFormat="1" ht="12" x14ac:dyDescent="0.2">
      <c r="A69" s="14"/>
      <c r="B69" s="14"/>
      <c r="C69" s="14"/>
      <c r="D69" s="14"/>
      <c r="E69" s="14"/>
      <c r="F69" s="15"/>
      <c r="G69" s="16"/>
      <c r="H69" s="41" t="s">
        <v>631</v>
      </c>
      <c r="I69" s="19" t="s">
        <v>630</v>
      </c>
      <c r="J69" s="20" t="s">
        <v>629</v>
      </c>
    </row>
    <row r="70" spans="1:10" s="10" customFormat="1" ht="22.5" customHeight="1" x14ac:dyDescent="0.2">
      <c r="A70" s="11" t="s">
        <v>62</v>
      </c>
      <c r="B70" s="11" t="s">
        <v>289</v>
      </c>
      <c r="C70" s="11" t="s">
        <v>197</v>
      </c>
      <c r="D70" s="11" t="s">
        <v>118</v>
      </c>
      <c r="E70" s="11" t="s">
        <v>349</v>
      </c>
      <c r="F70" s="6" t="s">
        <v>65</v>
      </c>
      <c r="G70" s="3">
        <f>H70*1.1+I70*0.9+J70*0.8</f>
        <v>14.9</v>
      </c>
      <c r="H70" s="31">
        <v>1</v>
      </c>
      <c r="I70" s="32">
        <v>10</v>
      </c>
      <c r="J70" s="33">
        <v>6</v>
      </c>
    </row>
    <row r="71" spans="1:10" s="10" customFormat="1" ht="15" customHeight="1" x14ac:dyDescent="0.2">
      <c r="A71" s="9" t="s">
        <v>164</v>
      </c>
      <c r="B71" s="9"/>
      <c r="C71" s="9"/>
      <c r="D71" s="9" t="s">
        <v>86</v>
      </c>
      <c r="E71" s="9"/>
      <c r="F71" s="9"/>
      <c r="G71" s="1"/>
      <c r="H71" s="24"/>
      <c r="I71" s="24"/>
      <c r="J71" s="24"/>
    </row>
    <row r="72" spans="1:10" s="10" customFormat="1" ht="37.5" customHeight="1" x14ac:dyDescent="0.2">
      <c r="A72" s="11" t="s">
        <v>461</v>
      </c>
      <c r="B72" s="11" t="s">
        <v>380</v>
      </c>
      <c r="C72" s="11" t="s">
        <v>197</v>
      </c>
      <c r="D72" s="11" t="s">
        <v>470</v>
      </c>
      <c r="E72" s="11" t="s">
        <v>555</v>
      </c>
      <c r="F72" s="6" t="s">
        <v>150</v>
      </c>
      <c r="G72" s="3">
        <f>G50*2</f>
        <v>1448.77</v>
      </c>
      <c r="H72" s="134" t="s">
        <v>632</v>
      </c>
      <c r="I72" s="135"/>
      <c r="J72" s="136"/>
    </row>
    <row r="73" spans="1:10" s="10" customFormat="1" ht="45" customHeight="1" x14ac:dyDescent="0.2">
      <c r="A73" s="11" t="s">
        <v>463</v>
      </c>
      <c r="B73" s="11" t="s">
        <v>398</v>
      </c>
      <c r="C73" s="11" t="s">
        <v>197</v>
      </c>
      <c r="D73" s="11" t="s">
        <v>386</v>
      </c>
      <c r="E73" s="11" t="s">
        <v>555</v>
      </c>
      <c r="F73" s="6" t="s">
        <v>150</v>
      </c>
      <c r="G73" s="3">
        <v>0</v>
      </c>
      <c r="H73" s="23"/>
      <c r="I73" s="23"/>
      <c r="J73" s="23"/>
    </row>
    <row r="74" spans="1:10" s="10" customFormat="1" ht="52.5" customHeight="1" x14ac:dyDescent="0.2">
      <c r="A74" s="11" t="s">
        <v>465</v>
      </c>
      <c r="B74" s="11" t="s">
        <v>535</v>
      </c>
      <c r="C74" s="11" t="s">
        <v>197</v>
      </c>
      <c r="D74" s="11" t="s">
        <v>340</v>
      </c>
      <c r="E74" s="11" t="s">
        <v>555</v>
      </c>
      <c r="F74" s="6" t="s">
        <v>150</v>
      </c>
      <c r="G74" s="3">
        <f>G72</f>
        <v>1448.77</v>
      </c>
      <c r="H74" s="134" t="s">
        <v>633</v>
      </c>
      <c r="I74" s="135"/>
      <c r="J74" s="136"/>
    </row>
    <row r="75" spans="1:10" s="10" customFormat="1" x14ac:dyDescent="0.2">
      <c r="A75" s="14"/>
      <c r="B75" s="14"/>
      <c r="C75" s="14"/>
      <c r="D75" s="14"/>
      <c r="E75" s="14"/>
      <c r="F75" s="15"/>
      <c r="G75" s="16"/>
      <c r="H75" s="26" t="s">
        <v>612</v>
      </c>
      <c r="I75" s="27" t="s">
        <v>614</v>
      </c>
      <c r="J75" s="28" t="s">
        <v>616</v>
      </c>
    </row>
    <row r="76" spans="1:10" s="10" customFormat="1" ht="52.5" customHeight="1" x14ac:dyDescent="0.2">
      <c r="A76" s="11" t="s">
        <v>467</v>
      </c>
      <c r="B76" s="11" t="s">
        <v>335</v>
      </c>
      <c r="C76" s="11" t="s">
        <v>197</v>
      </c>
      <c r="D76" s="11" t="s">
        <v>568</v>
      </c>
      <c r="E76" s="11" t="s">
        <v>555</v>
      </c>
      <c r="F76" s="6" t="s">
        <v>150</v>
      </c>
      <c r="G76" s="3">
        <f>H76*J76</f>
        <v>167.16</v>
      </c>
      <c r="H76" s="31">
        <v>2.8</v>
      </c>
      <c r="I76" s="32"/>
      <c r="J76" s="33">
        <f>(0.8+0.8+1.3+1.3*4+1.2+9+2.8+7.2+3.4+7+3.8+3.2+1.7*4+1.8*4)</f>
        <v>59.7</v>
      </c>
    </row>
    <row r="77" spans="1:10" s="10" customFormat="1" ht="30.75" customHeight="1" x14ac:dyDescent="0.2">
      <c r="A77" s="11" t="s">
        <v>468</v>
      </c>
      <c r="B77" s="11" t="s">
        <v>95</v>
      </c>
      <c r="C77" s="11" t="s">
        <v>197</v>
      </c>
      <c r="D77" s="11" t="s">
        <v>156</v>
      </c>
      <c r="E77" s="11" t="s">
        <v>160</v>
      </c>
      <c r="F77" s="6" t="s">
        <v>150</v>
      </c>
      <c r="G77" s="3">
        <f>G74-G76-G81</f>
        <v>935.08499999999992</v>
      </c>
      <c r="H77" s="164" t="s">
        <v>635</v>
      </c>
      <c r="I77" s="165"/>
      <c r="J77" s="166"/>
    </row>
    <row r="78" spans="1:10" s="10" customFormat="1" ht="28.5" customHeight="1" x14ac:dyDescent="0.2">
      <c r="A78" s="11" t="s">
        <v>469</v>
      </c>
      <c r="B78" s="11" t="s">
        <v>115</v>
      </c>
      <c r="C78" s="11" t="s">
        <v>197</v>
      </c>
      <c r="D78" s="11" t="s">
        <v>487</v>
      </c>
      <c r="E78" s="11" t="s">
        <v>160</v>
      </c>
      <c r="F78" s="6" t="s">
        <v>150</v>
      </c>
      <c r="G78" s="3">
        <f>G77</f>
        <v>935.08499999999992</v>
      </c>
      <c r="H78" s="164" t="s">
        <v>636</v>
      </c>
      <c r="I78" s="165"/>
      <c r="J78" s="166"/>
    </row>
    <row r="79" spans="1:10" s="10" customFormat="1" ht="30" customHeight="1" x14ac:dyDescent="0.2">
      <c r="A79" s="11" t="s">
        <v>471</v>
      </c>
      <c r="B79" s="11" t="s">
        <v>401</v>
      </c>
      <c r="C79" s="11" t="s">
        <v>197</v>
      </c>
      <c r="D79" s="11" t="s">
        <v>96</v>
      </c>
      <c r="E79" s="11" t="s">
        <v>555</v>
      </c>
      <c r="F79" s="6" t="s">
        <v>65</v>
      </c>
      <c r="G79" s="3">
        <v>33.75</v>
      </c>
      <c r="H79" s="23"/>
      <c r="I79" s="23"/>
      <c r="J79" s="23"/>
    </row>
    <row r="80" spans="1:10" s="10" customFormat="1" x14ac:dyDescent="0.2">
      <c r="A80" s="14"/>
      <c r="B80" s="14"/>
      <c r="C80" s="14"/>
      <c r="D80" s="14"/>
      <c r="E80" s="14"/>
      <c r="F80" s="15"/>
      <c r="G80" s="16"/>
      <c r="H80" s="26" t="s">
        <v>620</v>
      </c>
      <c r="I80" s="141" t="s">
        <v>634</v>
      </c>
      <c r="J80" s="142"/>
    </row>
    <row r="81" spans="1:10" s="10" customFormat="1" ht="22.5" customHeight="1" x14ac:dyDescent="0.2">
      <c r="A81" s="11" t="s">
        <v>473</v>
      </c>
      <c r="B81" s="11" t="s">
        <v>19</v>
      </c>
      <c r="C81" s="11" t="s">
        <v>197</v>
      </c>
      <c r="D81" s="11" t="s">
        <v>130</v>
      </c>
      <c r="E81" s="11" t="s">
        <v>160</v>
      </c>
      <c r="F81" s="6" t="s">
        <v>150</v>
      </c>
      <c r="G81" s="3">
        <f>H81+J81</f>
        <v>346.52499999999998</v>
      </c>
      <c r="H81" s="31">
        <f>(1.15*(1.8+1.85+5.45+3.65+2.15+3.75+9.7+1.5+3.15+1.35+2.95+6.05+7.1+9.6+10.6+1.85+1.8))+((3.9*4)*3.4)</f>
        <v>138.48499999999999</v>
      </c>
      <c r="I81" s="32"/>
      <c r="J81" s="33">
        <f>(2.8*(1.8+1.85+5.45+3.65+2.15+3.75+9.7+1.5+3.15+1.35+2.95+6.05+7.1+9.6+10.6+1.85+1.8))</f>
        <v>208.04</v>
      </c>
    </row>
    <row r="82" spans="1:10" s="10" customFormat="1" ht="15" customHeight="1" x14ac:dyDescent="0.2">
      <c r="A82" s="9" t="s">
        <v>166</v>
      </c>
      <c r="B82" s="9"/>
      <c r="C82" s="9"/>
      <c r="D82" s="9" t="s">
        <v>196</v>
      </c>
      <c r="E82" s="9"/>
      <c r="F82" s="9"/>
      <c r="G82" s="1"/>
      <c r="H82" s="24"/>
      <c r="I82" s="24"/>
      <c r="J82" s="24"/>
    </row>
    <row r="83" spans="1:10" s="10" customFormat="1" ht="37.5" customHeight="1" x14ac:dyDescent="0.2">
      <c r="A83" s="11" t="s">
        <v>390</v>
      </c>
      <c r="B83" s="11" t="s">
        <v>380</v>
      </c>
      <c r="C83" s="11" t="s">
        <v>197</v>
      </c>
      <c r="D83" s="11" t="s">
        <v>470</v>
      </c>
      <c r="E83" s="11" t="s">
        <v>555</v>
      </c>
      <c r="F83" s="6" t="s">
        <v>150</v>
      </c>
      <c r="G83" s="3">
        <f>G67</f>
        <v>281.2</v>
      </c>
      <c r="H83" s="149" t="s">
        <v>637</v>
      </c>
      <c r="I83" s="150"/>
      <c r="J83" s="151"/>
    </row>
    <row r="84" spans="1:10" s="10" customFormat="1" ht="52.5" customHeight="1" x14ac:dyDescent="0.2">
      <c r="A84" s="11" t="s">
        <v>391</v>
      </c>
      <c r="B84" s="11" t="s">
        <v>524</v>
      </c>
      <c r="C84" s="11" t="s">
        <v>197</v>
      </c>
      <c r="D84" s="11" t="s">
        <v>191</v>
      </c>
      <c r="E84" s="11" t="s">
        <v>555</v>
      </c>
      <c r="F84" s="6" t="s">
        <v>150</v>
      </c>
      <c r="G84" s="3">
        <f>G83</f>
        <v>281.2</v>
      </c>
      <c r="H84" s="152"/>
      <c r="I84" s="153"/>
      <c r="J84" s="154"/>
    </row>
    <row r="85" spans="1:10" s="10" customFormat="1" ht="15" customHeight="1" x14ac:dyDescent="0.2">
      <c r="A85" s="11" t="s">
        <v>393</v>
      </c>
      <c r="B85" s="11" t="s">
        <v>132</v>
      </c>
      <c r="C85" s="11" t="s">
        <v>197</v>
      </c>
      <c r="D85" s="11" t="s">
        <v>256</v>
      </c>
      <c r="E85" s="11" t="s">
        <v>160</v>
      </c>
      <c r="F85" s="6" t="s">
        <v>150</v>
      </c>
      <c r="G85" s="3">
        <f>G83</f>
        <v>281.2</v>
      </c>
      <c r="H85" s="149" t="s">
        <v>637</v>
      </c>
      <c r="I85" s="150"/>
      <c r="J85" s="151"/>
    </row>
    <row r="86" spans="1:10" s="10" customFormat="1" ht="22.5" customHeight="1" x14ac:dyDescent="0.2">
      <c r="A86" s="11" t="s">
        <v>394</v>
      </c>
      <c r="B86" s="11" t="s">
        <v>113</v>
      </c>
      <c r="C86" s="11" t="s">
        <v>197</v>
      </c>
      <c r="D86" s="11" t="s">
        <v>505</v>
      </c>
      <c r="E86" s="11" t="s">
        <v>160</v>
      </c>
      <c r="F86" s="6" t="s">
        <v>150</v>
      </c>
      <c r="G86" s="3">
        <f>G83</f>
        <v>281.2</v>
      </c>
      <c r="H86" s="152"/>
      <c r="I86" s="153"/>
      <c r="J86" s="154"/>
    </row>
    <row r="87" spans="1:10" s="10" customFormat="1" ht="22.5" customHeight="1" x14ac:dyDescent="0.2">
      <c r="A87" s="11" t="s">
        <v>396</v>
      </c>
      <c r="B87" s="11" t="s">
        <v>19</v>
      </c>
      <c r="C87" s="11" t="s">
        <v>197</v>
      </c>
      <c r="D87" s="11" t="s">
        <v>130</v>
      </c>
      <c r="E87" s="11" t="s">
        <v>160</v>
      </c>
      <c r="F87" s="6" t="s">
        <v>150</v>
      </c>
      <c r="G87" s="3">
        <v>35.21</v>
      </c>
      <c r="H87" s="125" t="s">
        <v>638</v>
      </c>
      <c r="I87" s="126"/>
      <c r="J87" s="127"/>
    </row>
    <row r="88" spans="1:10" s="10" customFormat="1" ht="37.5" customHeight="1" x14ac:dyDescent="0.2">
      <c r="A88" s="11" t="s">
        <v>397</v>
      </c>
      <c r="B88" s="11" t="s">
        <v>537</v>
      </c>
      <c r="C88" s="11" t="s">
        <v>197</v>
      </c>
      <c r="D88" s="11" t="s">
        <v>526</v>
      </c>
      <c r="E88" s="11" t="s">
        <v>555</v>
      </c>
      <c r="F88" s="6" t="s">
        <v>150</v>
      </c>
      <c r="G88" s="3">
        <f>(2.775+1.475+0.15)*5.3</f>
        <v>23.32</v>
      </c>
      <c r="H88" s="131" t="s">
        <v>639</v>
      </c>
      <c r="I88" s="132"/>
      <c r="J88" s="133"/>
    </row>
    <row r="89" spans="1:10" s="10" customFormat="1" ht="15" customHeight="1" x14ac:dyDescent="0.2">
      <c r="A89" s="9" t="s">
        <v>167</v>
      </c>
      <c r="B89" s="9"/>
      <c r="C89" s="9"/>
      <c r="D89" s="9" t="s">
        <v>81</v>
      </c>
      <c r="E89" s="9"/>
      <c r="F89" s="9"/>
      <c r="G89" s="1"/>
      <c r="H89" s="26"/>
      <c r="I89" s="27" t="s">
        <v>612</v>
      </c>
      <c r="J89" s="28" t="s">
        <v>616</v>
      </c>
    </row>
    <row r="90" spans="1:10" s="10" customFormat="1" ht="37.5" customHeight="1" x14ac:dyDescent="0.2">
      <c r="A90" s="11" t="s">
        <v>328</v>
      </c>
      <c r="B90" s="11" t="s">
        <v>380</v>
      </c>
      <c r="C90" s="11" t="s">
        <v>197</v>
      </c>
      <c r="D90" s="11" t="s">
        <v>470</v>
      </c>
      <c r="E90" s="11" t="s">
        <v>555</v>
      </c>
      <c r="F90" s="6" t="s">
        <v>150</v>
      </c>
      <c r="G90" s="3">
        <f>(I90*J90)*2</f>
        <v>38.76</v>
      </c>
      <c r="H90" s="29"/>
      <c r="I90" s="23">
        <v>1.7</v>
      </c>
      <c r="J90" s="30">
        <f>3.75*2+3.9</f>
        <v>11.4</v>
      </c>
    </row>
    <row r="91" spans="1:10" s="10" customFormat="1" ht="52.5" customHeight="1" x14ac:dyDescent="0.2">
      <c r="A91" s="11" t="s">
        <v>329</v>
      </c>
      <c r="B91" s="11" t="s">
        <v>524</v>
      </c>
      <c r="C91" s="11" t="s">
        <v>197</v>
      </c>
      <c r="D91" s="11" t="s">
        <v>191</v>
      </c>
      <c r="E91" s="11" t="s">
        <v>555</v>
      </c>
      <c r="F91" s="6" t="s">
        <v>150</v>
      </c>
      <c r="G91" s="3">
        <f>G90</f>
        <v>38.76</v>
      </c>
      <c r="H91" s="29"/>
      <c r="I91" s="23"/>
      <c r="J91" s="30"/>
    </row>
    <row r="92" spans="1:10" s="10" customFormat="1" ht="22.5" customHeight="1" x14ac:dyDescent="0.2">
      <c r="A92" s="11" t="s">
        <v>331</v>
      </c>
      <c r="B92" s="11" t="s">
        <v>19</v>
      </c>
      <c r="C92" s="11" t="s">
        <v>197</v>
      </c>
      <c r="D92" s="11" t="s">
        <v>130</v>
      </c>
      <c r="E92" s="11" t="s">
        <v>160</v>
      </c>
      <c r="F92" s="6" t="s">
        <v>150</v>
      </c>
      <c r="G92" s="3">
        <f>G90</f>
        <v>38.76</v>
      </c>
      <c r="H92" s="31"/>
      <c r="I92" s="32"/>
      <c r="J92" s="33"/>
    </row>
    <row r="93" spans="1:10" s="10" customFormat="1" ht="15" customHeight="1" x14ac:dyDescent="0.2">
      <c r="A93" s="9" t="s">
        <v>39</v>
      </c>
      <c r="B93" s="9"/>
      <c r="C93" s="9"/>
      <c r="D93" s="9" t="s">
        <v>506</v>
      </c>
      <c r="E93" s="9"/>
      <c r="F93" s="9"/>
      <c r="G93" s="1"/>
      <c r="H93" s="24"/>
      <c r="I93" s="24"/>
      <c r="J93" s="24"/>
    </row>
    <row r="94" spans="1:10" s="10" customFormat="1" ht="15" customHeight="1" x14ac:dyDescent="0.2">
      <c r="A94" s="9" t="s">
        <v>91</v>
      </c>
      <c r="B94" s="9"/>
      <c r="C94" s="9"/>
      <c r="D94" s="9" t="s">
        <v>534</v>
      </c>
      <c r="E94" s="9"/>
      <c r="F94" s="9"/>
      <c r="G94" s="1"/>
      <c r="H94" s="24"/>
      <c r="I94" s="24"/>
      <c r="J94" s="24"/>
    </row>
    <row r="95" spans="1:10" s="10" customFormat="1" ht="22.5" customHeight="1" x14ac:dyDescent="0.2">
      <c r="A95" s="11" t="s">
        <v>120</v>
      </c>
      <c r="B95" s="11" t="s">
        <v>493</v>
      </c>
      <c r="C95" s="11" t="s">
        <v>197</v>
      </c>
      <c r="D95" s="11" t="s">
        <v>12</v>
      </c>
      <c r="E95" s="11" t="s">
        <v>530</v>
      </c>
      <c r="F95" s="6" t="s">
        <v>284</v>
      </c>
      <c r="G95" s="3">
        <v>6</v>
      </c>
      <c r="H95" s="125" t="s">
        <v>640</v>
      </c>
      <c r="I95" s="126"/>
      <c r="J95" s="127"/>
    </row>
    <row r="96" spans="1:10" s="10" customFormat="1" ht="30" customHeight="1" x14ac:dyDescent="0.2">
      <c r="A96" s="11" t="s">
        <v>122</v>
      </c>
      <c r="B96" s="11" t="s">
        <v>494</v>
      </c>
      <c r="C96" s="11" t="s">
        <v>197</v>
      </c>
      <c r="D96" s="11" t="s">
        <v>11</v>
      </c>
      <c r="E96" s="11" t="s">
        <v>530</v>
      </c>
      <c r="F96" s="6" t="s">
        <v>284</v>
      </c>
      <c r="G96" s="3">
        <v>12</v>
      </c>
      <c r="H96" s="128"/>
      <c r="I96" s="129"/>
      <c r="J96" s="130"/>
    </row>
    <row r="97" spans="1:10" s="10" customFormat="1" ht="22.5" customHeight="1" x14ac:dyDescent="0.2">
      <c r="A97" s="11" t="s">
        <v>123</v>
      </c>
      <c r="B97" s="11" t="s">
        <v>593</v>
      </c>
      <c r="C97" s="11" t="s">
        <v>344</v>
      </c>
      <c r="D97" s="11" t="s">
        <v>502</v>
      </c>
      <c r="E97" s="11" t="s">
        <v>408</v>
      </c>
      <c r="F97" s="6" t="s">
        <v>244</v>
      </c>
      <c r="G97" s="3">
        <v>1</v>
      </c>
      <c r="H97" s="128"/>
      <c r="I97" s="129"/>
      <c r="J97" s="130"/>
    </row>
    <row r="98" spans="1:10" s="10" customFormat="1" ht="22.5" customHeight="1" x14ac:dyDescent="0.2">
      <c r="A98" s="11" t="s">
        <v>124</v>
      </c>
      <c r="B98" s="11" t="s">
        <v>40</v>
      </c>
      <c r="C98" s="11" t="s">
        <v>197</v>
      </c>
      <c r="D98" s="11" t="s">
        <v>266</v>
      </c>
      <c r="E98" s="11" t="s">
        <v>530</v>
      </c>
      <c r="F98" s="6" t="s">
        <v>284</v>
      </c>
      <c r="G98" s="3">
        <v>19</v>
      </c>
      <c r="H98" s="128"/>
      <c r="I98" s="129"/>
      <c r="J98" s="130"/>
    </row>
    <row r="99" spans="1:10" s="10" customFormat="1" ht="52.5" customHeight="1" x14ac:dyDescent="0.2">
      <c r="A99" s="11" t="s">
        <v>125</v>
      </c>
      <c r="B99" s="11" t="s">
        <v>205</v>
      </c>
      <c r="C99" s="11" t="s">
        <v>197</v>
      </c>
      <c r="D99" s="11" t="s">
        <v>382</v>
      </c>
      <c r="E99" s="11" t="s">
        <v>530</v>
      </c>
      <c r="F99" s="6" t="s">
        <v>284</v>
      </c>
      <c r="G99" s="3">
        <v>1</v>
      </c>
      <c r="H99" s="128"/>
      <c r="I99" s="129"/>
      <c r="J99" s="130"/>
    </row>
    <row r="100" spans="1:10" s="10" customFormat="1" ht="52.5" customHeight="1" x14ac:dyDescent="0.2">
      <c r="A100" s="11" t="s">
        <v>127</v>
      </c>
      <c r="B100" s="11" t="s">
        <v>206</v>
      </c>
      <c r="C100" s="11" t="s">
        <v>197</v>
      </c>
      <c r="D100" s="11" t="s">
        <v>48</v>
      </c>
      <c r="E100" s="11" t="s">
        <v>530</v>
      </c>
      <c r="F100" s="6" t="s">
        <v>284</v>
      </c>
      <c r="G100" s="3">
        <v>1</v>
      </c>
      <c r="H100" s="128"/>
      <c r="I100" s="129"/>
      <c r="J100" s="130"/>
    </row>
    <row r="101" spans="1:10" s="10" customFormat="1" ht="30" customHeight="1" x14ac:dyDescent="0.2">
      <c r="A101" s="11" t="s">
        <v>128</v>
      </c>
      <c r="B101" s="11" t="s">
        <v>334</v>
      </c>
      <c r="C101" s="11" t="s">
        <v>344</v>
      </c>
      <c r="D101" s="11" t="s">
        <v>223</v>
      </c>
      <c r="E101" s="11" t="s">
        <v>94</v>
      </c>
      <c r="F101" s="6" t="s">
        <v>244</v>
      </c>
      <c r="G101" s="3">
        <v>1</v>
      </c>
      <c r="H101" s="131"/>
      <c r="I101" s="132"/>
      <c r="J101" s="133"/>
    </row>
    <row r="102" spans="1:10" s="10" customFormat="1" ht="22.5" customHeight="1" x14ac:dyDescent="0.2">
      <c r="A102" s="11" t="s">
        <v>129</v>
      </c>
      <c r="B102" s="11" t="s">
        <v>444</v>
      </c>
      <c r="C102" s="11" t="s">
        <v>197</v>
      </c>
      <c r="D102" s="11" t="s">
        <v>423</v>
      </c>
      <c r="E102" s="11" t="s">
        <v>160</v>
      </c>
      <c r="F102" s="6" t="s">
        <v>150</v>
      </c>
      <c r="G102" s="3">
        <f>(G95*0.8*2*2.1)+(G96*0.9*2*2.1)+(G97*1*2*2.1)</f>
        <v>69.720000000000013</v>
      </c>
      <c r="H102" s="134" t="s">
        <v>641</v>
      </c>
      <c r="I102" s="135"/>
      <c r="J102" s="136"/>
    </row>
    <row r="103" spans="1:10" s="10" customFormat="1" ht="15" customHeight="1" x14ac:dyDescent="0.2">
      <c r="A103" s="9" t="s">
        <v>92</v>
      </c>
      <c r="B103" s="9"/>
      <c r="C103" s="9"/>
      <c r="D103" s="9" t="s">
        <v>248</v>
      </c>
      <c r="E103" s="9"/>
      <c r="F103" s="9"/>
      <c r="G103" s="1"/>
      <c r="H103" s="24"/>
      <c r="I103" s="24"/>
      <c r="J103" s="24"/>
    </row>
    <row r="104" spans="1:10" s="10" customFormat="1" ht="15" customHeight="1" x14ac:dyDescent="0.2">
      <c r="A104" s="11" t="s">
        <v>49</v>
      </c>
      <c r="B104" s="11" t="s">
        <v>338</v>
      </c>
      <c r="C104" s="11" t="s">
        <v>197</v>
      </c>
      <c r="D104" s="11" t="s">
        <v>287</v>
      </c>
      <c r="E104" s="11" t="s">
        <v>530</v>
      </c>
      <c r="F104" s="6" t="s">
        <v>150</v>
      </c>
      <c r="G104" s="3">
        <v>28.36</v>
      </c>
      <c r="H104" s="125" t="s">
        <v>642</v>
      </c>
      <c r="I104" s="126"/>
      <c r="J104" s="127"/>
    </row>
    <row r="105" spans="1:10" s="10" customFormat="1" ht="30" customHeight="1" x14ac:dyDescent="0.2">
      <c r="A105" s="11" t="s">
        <v>50</v>
      </c>
      <c r="B105" s="11" t="s">
        <v>246</v>
      </c>
      <c r="C105" s="11" t="s">
        <v>344</v>
      </c>
      <c r="D105" s="11" t="s">
        <v>309</v>
      </c>
      <c r="E105" s="11" t="s">
        <v>143</v>
      </c>
      <c r="F105" s="6" t="s">
        <v>150</v>
      </c>
      <c r="G105" s="3">
        <v>1.6</v>
      </c>
      <c r="H105" s="128"/>
      <c r="I105" s="129"/>
      <c r="J105" s="130"/>
    </row>
    <row r="106" spans="1:10" s="10" customFormat="1" ht="15" customHeight="1" x14ac:dyDescent="0.2">
      <c r="A106" s="11" t="s">
        <v>52</v>
      </c>
      <c r="B106" s="11" t="s">
        <v>209</v>
      </c>
      <c r="C106" s="11" t="s">
        <v>197</v>
      </c>
      <c r="D106" s="11" t="s">
        <v>522</v>
      </c>
      <c r="E106" s="11" t="s">
        <v>530</v>
      </c>
      <c r="F106" s="6" t="s">
        <v>150</v>
      </c>
      <c r="G106" s="3">
        <v>12.43</v>
      </c>
      <c r="H106" s="128"/>
      <c r="I106" s="129"/>
      <c r="J106" s="130"/>
    </row>
    <row r="107" spans="1:10" s="10" customFormat="1" ht="37.5" customHeight="1" x14ac:dyDescent="0.2">
      <c r="A107" s="11" t="s">
        <v>53</v>
      </c>
      <c r="B107" s="11" t="s">
        <v>355</v>
      </c>
      <c r="C107" s="11" t="s">
        <v>344</v>
      </c>
      <c r="D107" s="11" t="s">
        <v>263</v>
      </c>
      <c r="E107" s="11" t="s">
        <v>599</v>
      </c>
      <c r="F107" s="6" t="s">
        <v>244</v>
      </c>
      <c r="G107" s="3">
        <v>1</v>
      </c>
      <c r="H107" s="131"/>
      <c r="I107" s="132"/>
      <c r="J107" s="133"/>
    </row>
    <row r="108" spans="1:10" s="10" customFormat="1" ht="15" customHeight="1" x14ac:dyDescent="0.2">
      <c r="A108" s="9" t="s">
        <v>93</v>
      </c>
      <c r="B108" s="9"/>
      <c r="C108" s="9"/>
      <c r="D108" s="9" t="s">
        <v>281</v>
      </c>
      <c r="E108" s="9"/>
      <c r="F108" s="9"/>
      <c r="G108" s="1"/>
      <c r="H108" s="24"/>
      <c r="I108" s="24"/>
      <c r="J108" s="24"/>
    </row>
    <row r="109" spans="1:10" s="10" customFormat="1" ht="22.5" customHeight="1" x14ac:dyDescent="0.2">
      <c r="A109" s="11" t="s">
        <v>559</v>
      </c>
      <c r="B109" s="11" t="s">
        <v>42</v>
      </c>
      <c r="C109" s="11" t="s">
        <v>197</v>
      </c>
      <c r="D109" s="11" t="s">
        <v>452</v>
      </c>
      <c r="E109" s="11" t="s">
        <v>530</v>
      </c>
      <c r="F109" s="6" t="s">
        <v>150</v>
      </c>
      <c r="G109" s="3">
        <v>17.43</v>
      </c>
      <c r="H109" s="125" t="s">
        <v>642</v>
      </c>
      <c r="I109" s="126"/>
      <c r="J109" s="127"/>
    </row>
    <row r="110" spans="1:10" s="10" customFormat="1" ht="15" customHeight="1" x14ac:dyDescent="0.2">
      <c r="A110" s="11" t="s">
        <v>560</v>
      </c>
      <c r="B110" s="11" t="s">
        <v>17</v>
      </c>
      <c r="C110" s="11" t="s">
        <v>197</v>
      </c>
      <c r="D110" s="11" t="s">
        <v>292</v>
      </c>
      <c r="E110" s="11" t="s">
        <v>530</v>
      </c>
      <c r="F110" s="6" t="s">
        <v>150</v>
      </c>
      <c r="G110" s="3">
        <v>29.24</v>
      </c>
      <c r="H110" s="128"/>
      <c r="I110" s="129"/>
      <c r="J110" s="130"/>
    </row>
    <row r="111" spans="1:10" s="10" customFormat="1" ht="15" customHeight="1" x14ac:dyDescent="0.2">
      <c r="A111" s="11" t="s">
        <v>563</v>
      </c>
      <c r="B111" s="11" t="s">
        <v>267</v>
      </c>
      <c r="C111" s="11" t="s">
        <v>197</v>
      </c>
      <c r="D111" s="11" t="s">
        <v>590</v>
      </c>
      <c r="E111" s="11" t="s">
        <v>530</v>
      </c>
      <c r="F111" s="6" t="s">
        <v>150</v>
      </c>
      <c r="G111" s="3">
        <v>2.84</v>
      </c>
      <c r="H111" s="131"/>
      <c r="I111" s="132"/>
      <c r="J111" s="133"/>
    </row>
    <row r="112" spans="1:10" s="10" customFormat="1" ht="15" customHeight="1" x14ac:dyDescent="0.2">
      <c r="A112" s="9" t="s">
        <v>43</v>
      </c>
      <c r="B112" s="9"/>
      <c r="C112" s="9"/>
      <c r="D112" s="9" t="s">
        <v>508</v>
      </c>
      <c r="E112" s="9"/>
      <c r="F112" s="9"/>
      <c r="G112" s="1"/>
      <c r="H112" s="24"/>
      <c r="I112" s="24"/>
      <c r="J112" s="24"/>
    </row>
    <row r="113" spans="1:10" s="10" customFormat="1" ht="15" customHeight="1" x14ac:dyDescent="0.2">
      <c r="A113" s="9" t="s">
        <v>610</v>
      </c>
      <c r="B113" s="9"/>
      <c r="C113" s="9"/>
      <c r="D113" s="9" t="s">
        <v>536</v>
      </c>
      <c r="E113" s="9"/>
      <c r="F113" s="9"/>
      <c r="G113" s="1"/>
      <c r="H113" s="24"/>
      <c r="I113" s="24"/>
      <c r="J113" s="24"/>
    </row>
    <row r="114" spans="1:10" s="10" customFormat="1" ht="15" customHeight="1" x14ac:dyDescent="0.2">
      <c r="A114" s="11" t="s">
        <v>290</v>
      </c>
      <c r="B114" s="11" t="s">
        <v>247</v>
      </c>
      <c r="C114" s="11" t="s">
        <v>344</v>
      </c>
      <c r="D114" s="11" t="s">
        <v>478</v>
      </c>
      <c r="E114" s="11" t="s">
        <v>285</v>
      </c>
      <c r="F114" s="6" t="s">
        <v>244</v>
      </c>
      <c r="G114" s="3">
        <v>1</v>
      </c>
      <c r="H114" s="23"/>
      <c r="I114" s="23"/>
      <c r="J114" s="23"/>
    </row>
    <row r="115" spans="1:10" s="10" customFormat="1" ht="15" customHeight="1" x14ac:dyDescent="0.2">
      <c r="A115" s="9" t="s">
        <v>1</v>
      </c>
      <c r="B115" s="9"/>
      <c r="C115" s="9"/>
      <c r="D115" s="9" t="s">
        <v>498</v>
      </c>
      <c r="E115" s="9"/>
      <c r="F115" s="9"/>
      <c r="G115" s="1"/>
      <c r="H115" s="24"/>
      <c r="I115" s="24"/>
      <c r="J115" s="24"/>
    </row>
    <row r="116" spans="1:10" s="10" customFormat="1" ht="22.5" customHeight="1" x14ac:dyDescent="0.2">
      <c r="A116" s="11" t="s">
        <v>213</v>
      </c>
      <c r="B116" s="11" t="s">
        <v>200</v>
      </c>
      <c r="C116" s="11" t="s">
        <v>197</v>
      </c>
      <c r="D116" s="11" t="s">
        <v>339</v>
      </c>
      <c r="E116" s="11" t="s">
        <v>424</v>
      </c>
      <c r="F116" s="6" t="s">
        <v>284</v>
      </c>
      <c r="G116" s="3">
        <v>37</v>
      </c>
      <c r="H116" s="125" t="s">
        <v>644</v>
      </c>
      <c r="I116" s="126"/>
      <c r="J116" s="127"/>
    </row>
    <row r="117" spans="1:10" s="10" customFormat="1" ht="22.5" customHeight="1" x14ac:dyDescent="0.2">
      <c r="A117" s="11" t="s">
        <v>214</v>
      </c>
      <c r="B117" s="11" t="s">
        <v>199</v>
      </c>
      <c r="C117" s="11" t="s">
        <v>197</v>
      </c>
      <c r="D117" s="11" t="s">
        <v>554</v>
      </c>
      <c r="E117" s="11" t="s">
        <v>424</v>
      </c>
      <c r="F117" s="6" t="s">
        <v>284</v>
      </c>
      <c r="G117" s="3">
        <v>8</v>
      </c>
      <c r="H117" s="128"/>
      <c r="I117" s="129"/>
      <c r="J117" s="130"/>
    </row>
    <row r="118" spans="1:10" s="10" customFormat="1" ht="22.5" customHeight="1" x14ac:dyDescent="0.2">
      <c r="A118" s="11" t="s">
        <v>215</v>
      </c>
      <c r="B118" s="11" t="s">
        <v>592</v>
      </c>
      <c r="C118" s="11" t="s">
        <v>197</v>
      </c>
      <c r="D118" s="11" t="s">
        <v>416</v>
      </c>
      <c r="E118" s="11" t="s">
        <v>424</v>
      </c>
      <c r="F118" s="6" t="s">
        <v>284</v>
      </c>
      <c r="G118" s="3">
        <v>17</v>
      </c>
      <c r="H118" s="128"/>
      <c r="I118" s="129"/>
      <c r="J118" s="130"/>
    </row>
    <row r="119" spans="1:10" s="10" customFormat="1" ht="15" customHeight="1" x14ac:dyDescent="0.2">
      <c r="A119" s="11" t="s">
        <v>217</v>
      </c>
      <c r="B119" s="11" t="s">
        <v>231</v>
      </c>
      <c r="C119" s="11" t="s">
        <v>197</v>
      </c>
      <c r="D119" s="11" t="s">
        <v>581</v>
      </c>
      <c r="E119" s="11" t="s">
        <v>424</v>
      </c>
      <c r="F119" s="6" t="s">
        <v>284</v>
      </c>
      <c r="G119" s="3">
        <v>3</v>
      </c>
      <c r="H119" s="131"/>
      <c r="I119" s="132"/>
      <c r="J119" s="133"/>
    </row>
    <row r="120" spans="1:10" s="10" customFormat="1" ht="30" customHeight="1" x14ac:dyDescent="0.2">
      <c r="A120" s="11" t="s">
        <v>219</v>
      </c>
      <c r="B120" s="11" t="s">
        <v>426</v>
      </c>
      <c r="C120" s="11" t="s">
        <v>344</v>
      </c>
      <c r="D120" s="11" t="s">
        <v>481</v>
      </c>
      <c r="E120" s="11" t="s">
        <v>408</v>
      </c>
      <c r="F120" s="6" t="s">
        <v>244</v>
      </c>
      <c r="G120" s="3">
        <v>2</v>
      </c>
      <c r="H120" s="134" t="s">
        <v>643</v>
      </c>
      <c r="I120" s="135"/>
      <c r="J120" s="136"/>
    </row>
    <row r="121" spans="1:10" s="10" customFormat="1" ht="22.5" customHeight="1" x14ac:dyDescent="0.2">
      <c r="A121" s="11" t="s">
        <v>221</v>
      </c>
      <c r="B121" s="11" t="s">
        <v>180</v>
      </c>
      <c r="C121" s="11" t="s">
        <v>197</v>
      </c>
      <c r="D121" s="11" t="s">
        <v>474</v>
      </c>
      <c r="E121" s="11" t="s">
        <v>424</v>
      </c>
      <c r="F121" s="6" t="s">
        <v>284</v>
      </c>
      <c r="G121" s="3">
        <v>2</v>
      </c>
      <c r="H121" s="125" t="s">
        <v>644</v>
      </c>
      <c r="I121" s="126"/>
      <c r="J121" s="127"/>
    </row>
    <row r="122" spans="1:10" s="10" customFormat="1" ht="37.5" customHeight="1" x14ac:dyDescent="0.2">
      <c r="A122" s="11" t="s">
        <v>222</v>
      </c>
      <c r="B122" s="11" t="s">
        <v>383</v>
      </c>
      <c r="C122" s="11" t="s">
        <v>197</v>
      </c>
      <c r="D122" s="11" t="s">
        <v>108</v>
      </c>
      <c r="E122" s="11" t="s">
        <v>424</v>
      </c>
      <c r="F122" s="6" t="s">
        <v>284</v>
      </c>
      <c r="G122" s="3">
        <v>37</v>
      </c>
      <c r="H122" s="128"/>
      <c r="I122" s="129"/>
      <c r="J122" s="130"/>
    </row>
    <row r="123" spans="1:10" s="10" customFormat="1" ht="30" customHeight="1" x14ac:dyDescent="0.2">
      <c r="A123" s="11" t="s">
        <v>224</v>
      </c>
      <c r="B123" s="11" t="s">
        <v>411</v>
      </c>
      <c r="C123" s="11" t="s">
        <v>197</v>
      </c>
      <c r="D123" s="11" t="s">
        <v>484</v>
      </c>
      <c r="E123" s="11" t="s">
        <v>424</v>
      </c>
      <c r="F123" s="6" t="s">
        <v>284</v>
      </c>
      <c r="G123" s="3">
        <v>76</v>
      </c>
      <c r="H123" s="128"/>
      <c r="I123" s="129"/>
      <c r="J123" s="130"/>
    </row>
    <row r="124" spans="1:10" s="10" customFormat="1" ht="37.5" customHeight="1" x14ac:dyDescent="0.2">
      <c r="A124" s="11" t="s">
        <v>225</v>
      </c>
      <c r="B124" s="11" t="s">
        <v>383</v>
      </c>
      <c r="C124" s="11" t="s">
        <v>197</v>
      </c>
      <c r="D124" s="11" t="s">
        <v>108</v>
      </c>
      <c r="E124" s="11" t="s">
        <v>424</v>
      </c>
      <c r="F124" s="6" t="s">
        <v>284</v>
      </c>
      <c r="G124" s="3">
        <v>13</v>
      </c>
      <c r="H124" s="128"/>
      <c r="I124" s="129"/>
      <c r="J124" s="130"/>
    </row>
    <row r="125" spans="1:10" s="10" customFormat="1" ht="37.5" customHeight="1" x14ac:dyDescent="0.2">
      <c r="A125" s="11" t="s">
        <v>310</v>
      </c>
      <c r="B125" s="11" t="s">
        <v>402</v>
      </c>
      <c r="C125" s="11" t="s">
        <v>197</v>
      </c>
      <c r="D125" s="11" t="s">
        <v>264</v>
      </c>
      <c r="E125" s="11" t="s">
        <v>424</v>
      </c>
      <c r="F125" s="6" t="s">
        <v>284</v>
      </c>
      <c r="G125" s="3">
        <v>6</v>
      </c>
      <c r="H125" s="128"/>
      <c r="I125" s="129"/>
      <c r="J125" s="130"/>
    </row>
    <row r="126" spans="1:10" s="10" customFormat="1" ht="22.5" customHeight="1" x14ac:dyDescent="0.2">
      <c r="A126" s="11" t="s">
        <v>311</v>
      </c>
      <c r="B126" s="11" t="s">
        <v>392</v>
      </c>
      <c r="C126" s="11" t="s">
        <v>344</v>
      </c>
      <c r="D126" s="11" t="s">
        <v>466</v>
      </c>
      <c r="E126" s="11" t="s">
        <v>408</v>
      </c>
      <c r="F126" s="6" t="s">
        <v>162</v>
      </c>
      <c r="G126" s="3"/>
      <c r="H126" s="128"/>
      <c r="I126" s="129"/>
      <c r="J126" s="130"/>
    </row>
    <row r="127" spans="1:10" s="10" customFormat="1" ht="37.5" customHeight="1" x14ac:dyDescent="0.2">
      <c r="A127" s="11" t="s">
        <v>312</v>
      </c>
      <c r="B127" s="11" t="s">
        <v>403</v>
      </c>
      <c r="C127" s="11" t="s">
        <v>197</v>
      </c>
      <c r="D127" s="11" t="s">
        <v>608</v>
      </c>
      <c r="E127" s="11" t="s">
        <v>424</v>
      </c>
      <c r="F127" s="6" t="s">
        <v>284</v>
      </c>
      <c r="G127" s="3"/>
      <c r="H127" s="128"/>
      <c r="I127" s="129"/>
      <c r="J127" s="130"/>
    </row>
    <row r="128" spans="1:10" s="10" customFormat="1" ht="30" customHeight="1" x14ac:dyDescent="0.2">
      <c r="A128" s="11" t="s">
        <v>313</v>
      </c>
      <c r="B128" s="11" t="s">
        <v>410</v>
      </c>
      <c r="C128" s="11" t="s">
        <v>197</v>
      </c>
      <c r="D128" s="11" t="s">
        <v>333</v>
      </c>
      <c r="E128" s="11" t="s">
        <v>424</v>
      </c>
      <c r="F128" s="6" t="s">
        <v>284</v>
      </c>
      <c r="G128" s="3"/>
      <c r="H128" s="128"/>
      <c r="I128" s="129"/>
      <c r="J128" s="130"/>
    </row>
    <row r="129" spans="1:10" s="10" customFormat="1" ht="15" customHeight="1" x14ac:dyDescent="0.2">
      <c r="A129" s="9" t="s">
        <v>3</v>
      </c>
      <c r="B129" s="9"/>
      <c r="C129" s="9"/>
      <c r="D129" s="9" t="s">
        <v>253</v>
      </c>
      <c r="E129" s="9"/>
      <c r="F129" s="9"/>
      <c r="G129" s="1"/>
      <c r="H129" s="128"/>
      <c r="I129" s="129"/>
      <c r="J129" s="130"/>
    </row>
    <row r="130" spans="1:10" s="10" customFormat="1" ht="37.5" customHeight="1" x14ac:dyDescent="0.2">
      <c r="A130" s="11" t="s">
        <v>135</v>
      </c>
      <c r="B130" s="11" t="s">
        <v>350</v>
      </c>
      <c r="C130" s="11" t="s">
        <v>197</v>
      </c>
      <c r="D130" s="11" t="s">
        <v>476</v>
      </c>
      <c r="E130" s="11" t="s">
        <v>424</v>
      </c>
      <c r="F130" s="6" t="s">
        <v>284</v>
      </c>
      <c r="G130" s="3">
        <v>1</v>
      </c>
      <c r="H130" s="128"/>
      <c r="I130" s="129"/>
      <c r="J130" s="130"/>
    </row>
    <row r="131" spans="1:10" s="10" customFormat="1" ht="22.5" customHeight="1" x14ac:dyDescent="0.2">
      <c r="A131" s="11" t="s">
        <v>136</v>
      </c>
      <c r="B131" s="11" t="s">
        <v>187</v>
      </c>
      <c r="C131" s="11" t="s">
        <v>197</v>
      </c>
      <c r="D131" s="11" t="s">
        <v>176</v>
      </c>
      <c r="E131" s="11" t="s">
        <v>424</v>
      </c>
      <c r="F131" s="6" t="s">
        <v>284</v>
      </c>
      <c r="G131" s="3">
        <v>1</v>
      </c>
      <c r="H131" s="128"/>
      <c r="I131" s="129"/>
      <c r="J131" s="130"/>
    </row>
    <row r="132" spans="1:10" s="10" customFormat="1" ht="22.5" customHeight="1" x14ac:dyDescent="0.2">
      <c r="A132" s="11" t="s">
        <v>137</v>
      </c>
      <c r="B132" s="11" t="s">
        <v>186</v>
      </c>
      <c r="C132" s="11" t="s">
        <v>197</v>
      </c>
      <c r="D132" s="11" t="s">
        <v>378</v>
      </c>
      <c r="E132" s="11" t="s">
        <v>424</v>
      </c>
      <c r="F132" s="6" t="s">
        <v>284</v>
      </c>
      <c r="G132" s="3">
        <v>2</v>
      </c>
      <c r="H132" s="128"/>
      <c r="I132" s="129"/>
      <c r="J132" s="130"/>
    </row>
    <row r="133" spans="1:10" s="10" customFormat="1" ht="15" customHeight="1" x14ac:dyDescent="0.2">
      <c r="A133" s="11" t="s">
        <v>140</v>
      </c>
      <c r="B133" s="11" t="s">
        <v>576</v>
      </c>
      <c r="C133" s="11" t="s">
        <v>344</v>
      </c>
      <c r="D133" s="11" t="s">
        <v>320</v>
      </c>
      <c r="E133" s="11" t="s">
        <v>299</v>
      </c>
      <c r="F133" s="6" t="s">
        <v>244</v>
      </c>
      <c r="G133" s="3">
        <v>1</v>
      </c>
      <c r="H133" s="128"/>
      <c r="I133" s="129"/>
      <c r="J133" s="130"/>
    </row>
    <row r="134" spans="1:10" s="10" customFormat="1" ht="15" customHeight="1" x14ac:dyDescent="0.2">
      <c r="A134" s="9" t="s">
        <v>5</v>
      </c>
      <c r="B134" s="9"/>
      <c r="C134" s="9"/>
      <c r="D134" s="9" t="s">
        <v>254</v>
      </c>
      <c r="E134" s="9"/>
      <c r="F134" s="9"/>
      <c r="G134" s="1"/>
      <c r="H134" s="128"/>
      <c r="I134" s="129"/>
      <c r="J134" s="130"/>
    </row>
    <row r="135" spans="1:10" s="10" customFormat="1" ht="37.5" customHeight="1" x14ac:dyDescent="0.2">
      <c r="A135" s="11" t="s">
        <v>70</v>
      </c>
      <c r="B135" s="11" t="s">
        <v>350</v>
      </c>
      <c r="C135" s="11" t="s">
        <v>197</v>
      </c>
      <c r="D135" s="11" t="s">
        <v>476</v>
      </c>
      <c r="E135" s="11" t="s">
        <v>424</v>
      </c>
      <c r="F135" s="6" t="s">
        <v>284</v>
      </c>
      <c r="G135" s="3">
        <v>2</v>
      </c>
      <c r="H135" s="128"/>
      <c r="I135" s="129"/>
      <c r="J135" s="130"/>
    </row>
    <row r="136" spans="1:10" s="10" customFormat="1" ht="22.5" customHeight="1" x14ac:dyDescent="0.2">
      <c r="A136" s="11" t="s">
        <v>72</v>
      </c>
      <c r="B136" s="11" t="s">
        <v>489</v>
      </c>
      <c r="C136" s="11" t="s">
        <v>344</v>
      </c>
      <c r="D136" s="11" t="s">
        <v>531</v>
      </c>
      <c r="E136" s="11" t="s">
        <v>299</v>
      </c>
      <c r="F136" s="6" t="s">
        <v>244</v>
      </c>
      <c r="G136" s="3">
        <v>2</v>
      </c>
      <c r="H136" s="128"/>
      <c r="I136" s="129"/>
      <c r="J136" s="130"/>
    </row>
    <row r="137" spans="1:10" s="10" customFormat="1" ht="15" customHeight="1" x14ac:dyDescent="0.2">
      <c r="A137" s="11" t="s">
        <v>73</v>
      </c>
      <c r="B137" s="11" t="s">
        <v>576</v>
      </c>
      <c r="C137" s="11" t="s">
        <v>344</v>
      </c>
      <c r="D137" s="11" t="s">
        <v>320</v>
      </c>
      <c r="E137" s="11" t="s">
        <v>299</v>
      </c>
      <c r="F137" s="6" t="s">
        <v>244</v>
      </c>
      <c r="G137" s="3">
        <v>3</v>
      </c>
      <c r="H137" s="128"/>
      <c r="I137" s="129"/>
      <c r="J137" s="130"/>
    </row>
    <row r="138" spans="1:10" s="10" customFormat="1" ht="22.5" customHeight="1" x14ac:dyDescent="0.2">
      <c r="A138" s="11" t="s">
        <v>74</v>
      </c>
      <c r="B138" s="11" t="s">
        <v>186</v>
      </c>
      <c r="C138" s="11" t="s">
        <v>197</v>
      </c>
      <c r="D138" s="11" t="s">
        <v>378</v>
      </c>
      <c r="E138" s="11" t="s">
        <v>424</v>
      </c>
      <c r="F138" s="6" t="s">
        <v>284</v>
      </c>
      <c r="G138" s="3">
        <v>2</v>
      </c>
      <c r="H138" s="128"/>
      <c r="I138" s="129"/>
      <c r="J138" s="130"/>
    </row>
    <row r="139" spans="1:10" s="10" customFormat="1" ht="22.5" customHeight="1" x14ac:dyDescent="0.2">
      <c r="A139" s="11" t="s">
        <v>75</v>
      </c>
      <c r="B139" s="11" t="s">
        <v>181</v>
      </c>
      <c r="C139" s="11" t="s">
        <v>197</v>
      </c>
      <c r="D139" s="11" t="s">
        <v>342</v>
      </c>
      <c r="E139" s="11" t="s">
        <v>424</v>
      </c>
      <c r="F139" s="6" t="s">
        <v>284</v>
      </c>
      <c r="G139" s="3">
        <v>10</v>
      </c>
      <c r="H139" s="128"/>
      <c r="I139" s="129"/>
      <c r="J139" s="130"/>
    </row>
    <row r="140" spans="1:10" s="10" customFormat="1" ht="22.5" customHeight="1" x14ac:dyDescent="0.2">
      <c r="A140" s="11" t="s">
        <v>76</v>
      </c>
      <c r="B140" s="11" t="s">
        <v>183</v>
      </c>
      <c r="C140" s="11" t="s">
        <v>197</v>
      </c>
      <c r="D140" s="11" t="s">
        <v>564</v>
      </c>
      <c r="E140" s="11" t="s">
        <v>424</v>
      </c>
      <c r="F140" s="6" t="s">
        <v>284</v>
      </c>
      <c r="G140" s="3">
        <v>10</v>
      </c>
      <c r="H140" s="128"/>
      <c r="I140" s="129"/>
      <c r="J140" s="130"/>
    </row>
    <row r="141" spans="1:10" s="10" customFormat="1" ht="22.5" customHeight="1" x14ac:dyDescent="0.2">
      <c r="A141" s="11" t="s">
        <v>77</v>
      </c>
      <c r="B141" s="11" t="s">
        <v>184</v>
      </c>
      <c r="C141" s="11" t="s">
        <v>197</v>
      </c>
      <c r="D141" s="11" t="s">
        <v>322</v>
      </c>
      <c r="E141" s="11" t="s">
        <v>424</v>
      </c>
      <c r="F141" s="6" t="s">
        <v>284</v>
      </c>
      <c r="G141" s="3">
        <v>5</v>
      </c>
      <c r="H141" s="131"/>
      <c r="I141" s="132"/>
      <c r="J141" s="133"/>
    </row>
    <row r="142" spans="1:10" s="10" customFormat="1" ht="15" customHeight="1" x14ac:dyDescent="0.2">
      <c r="A142" s="9" t="s">
        <v>6</v>
      </c>
      <c r="B142" s="9"/>
      <c r="C142" s="9"/>
      <c r="D142" s="9" t="s">
        <v>116</v>
      </c>
      <c r="E142" s="9"/>
      <c r="F142" s="9"/>
      <c r="G142" s="1"/>
      <c r="H142" s="24"/>
      <c r="I142" s="24"/>
      <c r="J142" s="24"/>
    </row>
    <row r="143" spans="1:10" s="10" customFormat="1" ht="15" customHeight="1" x14ac:dyDescent="0.2">
      <c r="A143" s="11" t="s">
        <v>578</v>
      </c>
      <c r="B143" s="11" t="s">
        <v>417</v>
      </c>
      <c r="C143" s="11" t="s">
        <v>344</v>
      </c>
      <c r="D143" s="11" t="s">
        <v>387</v>
      </c>
      <c r="E143" s="11" t="s">
        <v>14</v>
      </c>
      <c r="F143" s="6" t="s">
        <v>244</v>
      </c>
      <c r="G143" s="3">
        <v>11</v>
      </c>
      <c r="H143" s="125" t="s">
        <v>652</v>
      </c>
      <c r="I143" s="126"/>
      <c r="J143" s="127"/>
    </row>
    <row r="144" spans="1:10" s="10" customFormat="1" ht="15" customHeight="1" x14ac:dyDescent="0.2">
      <c r="A144" s="11" t="s">
        <v>579</v>
      </c>
      <c r="B144" s="11" t="s">
        <v>420</v>
      </c>
      <c r="C144" s="11" t="s">
        <v>344</v>
      </c>
      <c r="D144" s="11" t="s">
        <v>106</v>
      </c>
      <c r="E144" s="11" t="s">
        <v>14</v>
      </c>
      <c r="F144" s="6" t="s">
        <v>244</v>
      </c>
      <c r="G144" s="3">
        <v>11</v>
      </c>
      <c r="H144" s="128"/>
      <c r="I144" s="129"/>
      <c r="J144" s="130"/>
    </row>
    <row r="145" spans="1:10" s="10" customFormat="1" ht="22.5" customHeight="1" x14ac:dyDescent="0.2">
      <c r="A145" s="11" t="s">
        <v>582</v>
      </c>
      <c r="B145" s="11" t="s">
        <v>409</v>
      </c>
      <c r="C145" s="11" t="s">
        <v>344</v>
      </c>
      <c r="D145" s="11" t="s">
        <v>119</v>
      </c>
      <c r="E145" s="11" t="s">
        <v>14</v>
      </c>
      <c r="F145" s="6" t="s">
        <v>162</v>
      </c>
      <c r="G145" s="3">
        <v>11</v>
      </c>
      <c r="H145" s="128"/>
      <c r="I145" s="129"/>
      <c r="J145" s="130"/>
    </row>
    <row r="146" spans="1:10" s="10" customFormat="1" ht="22.5" customHeight="1" x14ac:dyDescent="0.2">
      <c r="A146" s="11" t="s">
        <v>583</v>
      </c>
      <c r="B146" s="11" t="s">
        <v>516</v>
      </c>
      <c r="C146" s="11" t="s">
        <v>344</v>
      </c>
      <c r="D146" s="11" t="s">
        <v>361</v>
      </c>
      <c r="E146" s="11" t="s">
        <v>148</v>
      </c>
      <c r="F146" s="6" t="s">
        <v>244</v>
      </c>
      <c r="G146" s="3">
        <v>7</v>
      </c>
      <c r="H146" s="128"/>
      <c r="I146" s="129"/>
      <c r="J146" s="130"/>
    </row>
    <row r="147" spans="1:10" s="10" customFormat="1" ht="15" customHeight="1" x14ac:dyDescent="0.2">
      <c r="A147" s="11" t="s">
        <v>584</v>
      </c>
      <c r="B147" s="11" t="s">
        <v>111</v>
      </c>
      <c r="C147" s="11" t="s">
        <v>344</v>
      </c>
      <c r="D147" s="11" t="s">
        <v>495</v>
      </c>
      <c r="E147" s="11" t="s">
        <v>14</v>
      </c>
      <c r="F147" s="6" t="s">
        <v>244</v>
      </c>
      <c r="G147" s="3">
        <v>1</v>
      </c>
      <c r="H147" s="128"/>
      <c r="I147" s="129"/>
      <c r="J147" s="130"/>
    </row>
    <row r="148" spans="1:10" s="10" customFormat="1" ht="15" customHeight="1" x14ac:dyDescent="0.2">
      <c r="A148" s="11" t="s">
        <v>585</v>
      </c>
      <c r="B148" s="11" t="s">
        <v>513</v>
      </c>
      <c r="C148" s="11" t="s">
        <v>344</v>
      </c>
      <c r="D148" s="11" t="s">
        <v>97</v>
      </c>
      <c r="E148" s="11" t="s">
        <v>303</v>
      </c>
      <c r="F148" s="6" t="s">
        <v>244</v>
      </c>
      <c r="G148" s="3">
        <v>1</v>
      </c>
      <c r="H148" s="128"/>
      <c r="I148" s="129"/>
      <c r="J148" s="130"/>
    </row>
    <row r="149" spans="1:10" s="10" customFormat="1" ht="15" customHeight="1" x14ac:dyDescent="0.2">
      <c r="A149" s="11" t="s">
        <v>586</v>
      </c>
      <c r="B149" s="11" t="s">
        <v>352</v>
      </c>
      <c r="C149" s="11" t="s">
        <v>344</v>
      </c>
      <c r="D149" s="11" t="s">
        <v>351</v>
      </c>
      <c r="E149" s="11" t="s">
        <v>14</v>
      </c>
      <c r="F149" s="6" t="s">
        <v>244</v>
      </c>
      <c r="G149" s="3">
        <v>1</v>
      </c>
      <c r="H149" s="128"/>
      <c r="I149" s="129"/>
      <c r="J149" s="130"/>
    </row>
    <row r="150" spans="1:10" s="10" customFormat="1" ht="22.5" customHeight="1" x14ac:dyDescent="0.2">
      <c r="A150" s="11" t="s">
        <v>587</v>
      </c>
      <c r="B150" s="11" t="s">
        <v>133</v>
      </c>
      <c r="C150" s="11" t="s">
        <v>197</v>
      </c>
      <c r="D150" s="11" t="s">
        <v>373</v>
      </c>
      <c r="E150" s="11" t="s">
        <v>532</v>
      </c>
      <c r="F150" s="6" t="s">
        <v>284</v>
      </c>
      <c r="G150" s="3">
        <v>1</v>
      </c>
      <c r="H150" s="128"/>
      <c r="I150" s="129"/>
      <c r="J150" s="130"/>
    </row>
    <row r="151" spans="1:10" s="10" customFormat="1" ht="22.5" customHeight="1" x14ac:dyDescent="0.2">
      <c r="A151" s="11" t="s">
        <v>588</v>
      </c>
      <c r="B151" s="11" t="s">
        <v>192</v>
      </c>
      <c r="C151" s="11" t="s">
        <v>197</v>
      </c>
      <c r="D151" s="11" t="s">
        <v>141</v>
      </c>
      <c r="E151" s="11" t="s">
        <v>532</v>
      </c>
      <c r="F151" s="6" t="s">
        <v>284</v>
      </c>
      <c r="G151" s="3">
        <v>3</v>
      </c>
      <c r="H151" s="128"/>
      <c r="I151" s="129"/>
      <c r="J151" s="130"/>
    </row>
    <row r="152" spans="1:10" s="10" customFormat="1" ht="22.5" customHeight="1" x14ac:dyDescent="0.2">
      <c r="A152" s="11" t="s">
        <v>332</v>
      </c>
      <c r="B152" s="11" t="s">
        <v>475</v>
      </c>
      <c r="C152" s="11" t="s">
        <v>197</v>
      </c>
      <c r="D152" s="11" t="s">
        <v>286</v>
      </c>
      <c r="E152" s="11" t="s">
        <v>532</v>
      </c>
      <c r="F152" s="6" t="s">
        <v>284</v>
      </c>
      <c r="G152" s="3">
        <v>3</v>
      </c>
      <c r="H152" s="131"/>
      <c r="I152" s="132"/>
      <c r="J152" s="133"/>
    </row>
    <row r="153" spans="1:10" s="10" customFormat="1" ht="15" customHeight="1" x14ac:dyDescent="0.2">
      <c r="A153" s="9" t="s">
        <v>255</v>
      </c>
      <c r="B153" s="9"/>
      <c r="C153" s="9"/>
      <c r="D153" s="9" t="s">
        <v>552</v>
      </c>
      <c r="E153" s="9"/>
      <c r="F153" s="9"/>
      <c r="G153" s="1"/>
      <c r="H153" s="24"/>
      <c r="I153" s="24"/>
      <c r="J153" s="24"/>
    </row>
    <row r="154" spans="1:10" s="10" customFormat="1" ht="15" customHeight="1" x14ac:dyDescent="0.2">
      <c r="A154" s="9" t="s">
        <v>365</v>
      </c>
      <c r="B154" s="9"/>
      <c r="C154" s="9"/>
      <c r="D154" s="9" t="s">
        <v>442</v>
      </c>
      <c r="E154" s="9"/>
      <c r="F154" s="9"/>
      <c r="G154" s="1"/>
      <c r="H154" s="24"/>
      <c r="I154" s="24"/>
      <c r="J154" s="24"/>
    </row>
    <row r="155" spans="1:10" s="10" customFormat="1" ht="37.5" customHeight="1" x14ac:dyDescent="0.2">
      <c r="A155" s="11" t="s">
        <v>509</v>
      </c>
      <c r="B155" s="11" t="s">
        <v>450</v>
      </c>
      <c r="C155" s="11" t="s">
        <v>197</v>
      </c>
      <c r="D155" s="11" t="s">
        <v>488</v>
      </c>
      <c r="E155" s="11" t="s">
        <v>571</v>
      </c>
      <c r="F155" s="6" t="s">
        <v>284</v>
      </c>
      <c r="G155" s="3">
        <v>1</v>
      </c>
      <c r="H155" s="125" t="s">
        <v>652</v>
      </c>
      <c r="I155" s="126"/>
      <c r="J155" s="127"/>
    </row>
    <row r="156" spans="1:10" s="10" customFormat="1" ht="15" customHeight="1" x14ac:dyDescent="0.2">
      <c r="A156" s="11" t="s">
        <v>511</v>
      </c>
      <c r="B156" s="11" t="s">
        <v>490</v>
      </c>
      <c r="C156" s="11" t="s">
        <v>344</v>
      </c>
      <c r="D156" s="11" t="s">
        <v>595</v>
      </c>
      <c r="E156" s="11" t="s">
        <v>171</v>
      </c>
      <c r="F156" s="6" t="s">
        <v>244</v>
      </c>
      <c r="G156" s="3">
        <v>1</v>
      </c>
      <c r="H156" s="128"/>
      <c r="I156" s="129"/>
      <c r="J156" s="130"/>
    </row>
    <row r="157" spans="1:10" s="10" customFormat="1" ht="52.5" customHeight="1" x14ac:dyDescent="0.2">
      <c r="A157" s="11" t="s">
        <v>512</v>
      </c>
      <c r="B157" s="11" t="s">
        <v>449</v>
      </c>
      <c r="C157" s="11" t="s">
        <v>344</v>
      </c>
      <c r="D157" s="11" t="s">
        <v>425</v>
      </c>
      <c r="E157" s="11" t="s">
        <v>171</v>
      </c>
      <c r="F157" s="6" t="s">
        <v>244</v>
      </c>
      <c r="G157" s="3">
        <v>4</v>
      </c>
      <c r="H157" s="128"/>
      <c r="I157" s="129"/>
      <c r="J157" s="130"/>
    </row>
    <row r="158" spans="1:10" s="10" customFormat="1" ht="15" customHeight="1" x14ac:dyDescent="0.2">
      <c r="A158" s="11" t="s">
        <v>514</v>
      </c>
      <c r="B158" s="11" t="s">
        <v>235</v>
      </c>
      <c r="C158" s="11" t="s">
        <v>344</v>
      </c>
      <c r="D158" s="11" t="s">
        <v>464</v>
      </c>
      <c r="E158" s="11" t="s">
        <v>171</v>
      </c>
      <c r="F158" s="6" t="s">
        <v>244</v>
      </c>
      <c r="G158" s="3">
        <v>5</v>
      </c>
      <c r="H158" s="128"/>
      <c r="I158" s="129"/>
      <c r="J158" s="130"/>
    </row>
    <row r="159" spans="1:10" s="10" customFormat="1" ht="52.5" customHeight="1" x14ac:dyDescent="0.2">
      <c r="A159" s="11" t="s">
        <v>515</v>
      </c>
      <c r="B159" s="11" t="s">
        <v>249</v>
      </c>
      <c r="C159" s="11" t="s">
        <v>197</v>
      </c>
      <c r="D159" s="11" t="s">
        <v>572</v>
      </c>
      <c r="E159" s="11" t="s">
        <v>571</v>
      </c>
      <c r="F159" s="6" t="s">
        <v>284</v>
      </c>
      <c r="G159" s="3">
        <v>13</v>
      </c>
      <c r="H159" s="128"/>
      <c r="I159" s="129"/>
      <c r="J159" s="130"/>
    </row>
    <row r="160" spans="1:10" s="10" customFormat="1" ht="37.5" customHeight="1" x14ac:dyDescent="0.2">
      <c r="A160" s="11" t="s">
        <v>517</v>
      </c>
      <c r="B160" s="11" t="s">
        <v>600</v>
      </c>
      <c r="C160" s="11" t="s">
        <v>344</v>
      </c>
      <c r="D160" s="11" t="s">
        <v>265</v>
      </c>
      <c r="E160" s="11" t="s">
        <v>171</v>
      </c>
      <c r="F160" s="6" t="s">
        <v>244</v>
      </c>
      <c r="G160" s="3">
        <v>1</v>
      </c>
      <c r="H160" s="128"/>
      <c r="I160" s="129"/>
      <c r="J160" s="130"/>
    </row>
    <row r="161" spans="1:10" s="10" customFormat="1" ht="30" customHeight="1" x14ac:dyDescent="0.2">
      <c r="A161" s="11" t="s">
        <v>518</v>
      </c>
      <c r="B161" s="11" t="s">
        <v>126</v>
      </c>
      <c r="C161" s="11" t="s">
        <v>197</v>
      </c>
      <c r="D161" s="11" t="s">
        <v>10</v>
      </c>
      <c r="E161" s="11" t="s">
        <v>571</v>
      </c>
      <c r="F161" s="6" t="s">
        <v>284</v>
      </c>
      <c r="G161" s="3">
        <v>14</v>
      </c>
      <c r="H161" s="128"/>
      <c r="I161" s="129"/>
      <c r="J161" s="130"/>
    </row>
    <row r="162" spans="1:10" s="10" customFormat="1" ht="15" customHeight="1" x14ac:dyDescent="0.2">
      <c r="A162" s="11" t="s">
        <v>519</v>
      </c>
      <c r="B162" s="11" t="s">
        <v>448</v>
      </c>
      <c r="C162" s="11" t="s">
        <v>344</v>
      </c>
      <c r="D162" s="11" t="s">
        <v>594</v>
      </c>
      <c r="E162" s="11" t="s">
        <v>171</v>
      </c>
      <c r="F162" s="6" t="s">
        <v>244</v>
      </c>
      <c r="G162" s="3">
        <v>14</v>
      </c>
      <c r="H162" s="128"/>
      <c r="I162" s="129"/>
      <c r="J162" s="130"/>
    </row>
    <row r="163" spans="1:10" s="10" customFormat="1" ht="37.5" customHeight="1" x14ac:dyDescent="0.2">
      <c r="A163" s="11" t="s">
        <v>520</v>
      </c>
      <c r="B163" s="11" t="s">
        <v>201</v>
      </c>
      <c r="C163" s="11" t="s">
        <v>197</v>
      </c>
      <c r="D163" s="11" t="s">
        <v>357</v>
      </c>
      <c r="E163" s="11" t="s">
        <v>571</v>
      </c>
      <c r="F163" s="6" t="s">
        <v>284</v>
      </c>
      <c r="G163" s="3">
        <v>1</v>
      </c>
      <c r="H163" s="128"/>
      <c r="I163" s="129"/>
      <c r="J163" s="130"/>
    </row>
    <row r="164" spans="1:10" s="10" customFormat="1" ht="15" customHeight="1" x14ac:dyDescent="0.2">
      <c r="A164" s="11" t="s">
        <v>270</v>
      </c>
      <c r="B164" s="11" t="s">
        <v>121</v>
      </c>
      <c r="C164" s="11" t="s">
        <v>344</v>
      </c>
      <c r="D164" s="11" t="s">
        <v>204</v>
      </c>
      <c r="E164" s="11" t="s">
        <v>66</v>
      </c>
      <c r="F164" s="6" t="s">
        <v>244</v>
      </c>
      <c r="G164" s="3">
        <v>1</v>
      </c>
      <c r="H164" s="128"/>
      <c r="I164" s="129"/>
      <c r="J164" s="130"/>
    </row>
    <row r="165" spans="1:10" s="10" customFormat="1" ht="37.5" customHeight="1" x14ac:dyDescent="0.2">
      <c r="A165" s="11" t="s">
        <v>271</v>
      </c>
      <c r="B165" s="11" t="s">
        <v>319</v>
      </c>
      <c r="C165" s="11" t="s">
        <v>344</v>
      </c>
      <c r="D165" s="11" t="s">
        <v>178</v>
      </c>
      <c r="E165" s="11" t="s">
        <v>171</v>
      </c>
      <c r="F165" s="6" t="s">
        <v>83</v>
      </c>
      <c r="G165" s="3">
        <v>13.2</v>
      </c>
      <c r="H165" s="128"/>
      <c r="I165" s="129"/>
      <c r="J165" s="130"/>
    </row>
    <row r="166" spans="1:10" s="10" customFormat="1" ht="37.5" customHeight="1" x14ac:dyDescent="0.2">
      <c r="A166" s="11" t="s">
        <v>272</v>
      </c>
      <c r="B166" s="11" t="s">
        <v>319</v>
      </c>
      <c r="C166" s="11" t="s">
        <v>344</v>
      </c>
      <c r="D166" s="11" t="s">
        <v>178</v>
      </c>
      <c r="E166" s="11" t="s">
        <v>171</v>
      </c>
      <c r="F166" s="6" t="s">
        <v>83</v>
      </c>
      <c r="G166" s="3">
        <v>2.7</v>
      </c>
      <c r="H166" s="128"/>
      <c r="I166" s="129"/>
      <c r="J166" s="130"/>
    </row>
    <row r="167" spans="1:10" s="10" customFormat="1" ht="22.5" customHeight="1" x14ac:dyDescent="0.2">
      <c r="A167" s="11" t="s">
        <v>274</v>
      </c>
      <c r="B167" s="11" t="s">
        <v>323</v>
      </c>
      <c r="C167" s="11" t="s">
        <v>344</v>
      </c>
      <c r="D167" s="11" t="s">
        <v>98</v>
      </c>
      <c r="E167" s="11" t="s">
        <v>23</v>
      </c>
      <c r="F167" s="6" t="s">
        <v>83</v>
      </c>
      <c r="G167" s="3">
        <v>18.2</v>
      </c>
      <c r="H167" s="128"/>
      <c r="I167" s="129"/>
      <c r="J167" s="130"/>
    </row>
    <row r="168" spans="1:10" s="10" customFormat="1" ht="22.5" customHeight="1" x14ac:dyDescent="0.2">
      <c r="A168" s="11" t="s">
        <v>275</v>
      </c>
      <c r="B168" s="11" t="s">
        <v>565</v>
      </c>
      <c r="C168" s="11" t="s">
        <v>100</v>
      </c>
      <c r="D168" s="11" t="s">
        <v>381</v>
      </c>
      <c r="E168" s="11" t="s">
        <v>100</v>
      </c>
      <c r="F168" s="6" t="s">
        <v>284</v>
      </c>
      <c r="G168" s="3">
        <v>1</v>
      </c>
      <c r="H168" s="128"/>
      <c r="I168" s="129"/>
      <c r="J168" s="130"/>
    </row>
    <row r="169" spans="1:10" s="10" customFormat="1" ht="22.5" customHeight="1" x14ac:dyDescent="0.2">
      <c r="A169" s="11" t="s">
        <v>276</v>
      </c>
      <c r="B169" s="11" t="s">
        <v>198</v>
      </c>
      <c r="C169" s="11" t="s">
        <v>197</v>
      </c>
      <c r="D169" s="11" t="s">
        <v>472</v>
      </c>
      <c r="E169" s="11" t="s">
        <v>571</v>
      </c>
      <c r="F169" s="6" t="s">
        <v>284</v>
      </c>
      <c r="G169" s="3">
        <v>4</v>
      </c>
      <c r="H169" s="128"/>
      <c r="I169" s="129"/>
      <c r="J169" s="130"/>
    </row>
    <row r="170" spans="1:10" s="10" customFormat="1" ht="22.5" customHeight="1" x14ac:dyDescent="0.2">
      <c r="A170" s="11" t="s">
        <v>278</v>
      </c>
      <c r="B170" s="11" t="s">
        <v>185</v>
      </c>
      <c r="C170" s="11" t="s">
        <v>344</v>
      </c>
      <c r="D170" s="11" t="s">
        <v>293</v>
      </c>
      <c r="E170" s="11" t="s">
        <v>171</v>
      </c>
      <c r="F170" s="6" t="s">
        <v>244</v>
      </c>
      <c r="G170" s="3">
        <v>10</v>
      </c>
      <c r="H170" s="128"/>
      <c r="I170" s="129"/>
      <c r="J170" s="130"/>
    </row>
    <row r="171" spans="1:10" s="10" customFormat="1" ht="22.5" customHeight="1" x14ac:dyDescent="0.2">
      <c r="A171" s="11" t="s">
        <v>279</v>
      </c>
      <c r="B171" s="11" t="s">
        <v>112</v>
      </c>
      <c r="C171" s="11" t="s">
        <v>197</v>
      </c>
      <c r="D171" s="11" t="s">
        <v>434</v>
      </c>
      <c r="E171" s="11" t="s">
        <v>424</v>
      </c>
      <c r="F171" s="6" t="s">
        <v>284</v>
      </c>
      <c r="G171" s="3">
        <v>2</v>
      </c>
      <c r="H171" s="128"/>
      <c r="I171" s="129"/>
      <c r="J171" s="130"/>
    </row>
    <row r="172" spans="1:10" s="10" customFormat="1" ht="22.5" customHeight="1" x14ac:dyDescent="0.2">
      <c r="A172" s="11" t="s">
        <v>280</v>
      </c>
      <c r="B172" s="11" t="s">
        <v>596</v>
      </c>
      <c r="C172" s="11" t="s">
        <v>344</v>
      </c>
      <c r="D172" s="11" t="s">
        <v>415</v>
      </c>
      <c r="E172" s="11" t="s">
        <v>171</v>
      </c>
      <c r="F172" s="6" t="s">
        <v>244</v>
      </c>
      <c r="G172" s="3">
        <v>13</v>
      </c>
      <c r="H172" s="131"/>
      <c r="I172" s="132"/>
      <c r="J172" s="133"/>
    </row>
    <row r="173" spans="1:10" s="10" customFormat="1" ht="15" customHeight="1" x14ac:dyDescent="0.2">
      <c r="A173" s="9" t="s">
        <v>367</v>
      </c>
      <c r="B173" s="9"/>
      <c r="C173" s="9"/>
      <c r="D173" s="9" t="s">
        <v>456</v>
      </c>
      <c r="E173" s="9"/>
      <c r="F173" s="9"/>
      <c r="G173" s="1"/>
      <c r="H173" s="35"/>
      <c r="I173" s="46"/>
      <c r="J173" s="47"/>
    </row>
    <row r="174" spans="1:10" s="10" customFormat="1" ht="15" customHeight="1" x14ac:dyDescent="0.2">
      <c r="A174" s="12" t="s">
        <v>430</v>
      </c>
      <c r="B174" s="12" t="s">
        <v>523</v>
      </c>
      <c r="C174" s="12" t="s">
        <v>344</v>
      </c>
      <c r="D174" s="12" t="s">
        <v>149</v>
      </c>
      <c r="E174" s="12" t="s">
        <v>521</v>
      </c>
      <c r="F174" s="8" t="s">
        <v>244</v>
      </c>
      <c r="G174" s="7">
        <v>1</v>
      </c>
      <c r="H174" s="48"/>
      <c r="I174" s="25"/>
      <c r="J174" s="49"/>
    </row>
    <row r="175" spans="1:10" s="10" customFormat="1" ht="15" customHeight="1" x14ac:dyDescent="0.2">
      <c r="A175" s="11" t="s">
        <v>431</v>
      </c>
      <c r="B175" s="11" t="s">
        <v>443</v>
      </c>
      <c r="C175" s="11" t="s">
        <v>197</v>
      </c>
      <c r="D175" s="11" t="s">
        <v>482</v>
      </c>
      <c r="E175" s="11" t="s">
        <v>571</v>
      </c>
      <c r="F175" s="6" t="s">
        <v>284</v>
      </c>
      <c r="G175" s="3">
        <v>1</v>
      </c>
      <c r="H175" s="29"/>
      <c r="I175" s="23"/>
      <c r="J175" s="30"/>
    </row>
    <row r="176" spans="1:10" s="10" customFormat="1" ht="22.5" customHeight="1" x14ac:dyDescent="0.2">
      <c r="A176" s="11" t="s">
        <v>432</v>
      </c>
      <c r="B176" s="11" t="s">
        <v>528</v>
      </c>
      <c r="C176" s="11" t="s">
        <v>197</v>
      </c>
      <c r="D176" s="11" t="s">
        <v>202</v>
      </c>
      <c r="E176" s="11" t="s">
        <v>571</v>
      </c>
      <c r="F176" s="6" t="s">
        <v>284</v>
      </c>
      <c r="G176" s="3">
        <v>1</v>
      </c>
      <c r="H176" s="29"/>
      <c r="I176" s="23"/>
      <c r="J176" s="30"/>
    </row>
    <row r="177" spans="1:10" s="10" customFormat="1" ht="30" customHeight="1" x14ac:dyDescent="0.2">
      <c r="A177" s="11" t="s">
        <v>433</v>
      </c>
      <c r="B177" s="11" t="s">
        <v>589</v>
      </c>
      <c r="C177" s="11" t="s">
        <v>197</v>
      </c>
      <c r="D177" s="11" t="s">
        <v>30</v>
      </c>
      <c r="E177" s="11" t="s">
        <v>424</v>
      </c>
      <c r="F177" s="6" t="s">
        <v>284</v>
      </c>
      <c r="G177" s="3">
        <v>1</v>
      </c>
      <c r="H177" s="29"/>
      <c r="I177" s="23"/>
      <c r="J177" s="30"/>
    </row>
    <row r="178" spans="1:10" s="10" customFormat="1" ht="15" customHeight="1" x14ac:dyDescent="0.2">
      <c r="A178" s="12" t="s">
        <v>435</v>
      </c>
      <c r="B178" s="12" t="s">
        <v>44</v>
      </c>
      <c r="C178" s="12" t="s">
        <v>45</v>
      </c>
      <c r="D178" s="12" t="s">
        <v>441</v>
      </c>
      <c r="E178" s="12" t="s">
        <v>542</v>
      </c>
      <c r="F178" s="8" t="s">
        <v>284</v>
      </c>
      <c r="G178" s="7">
        <v>1</v>
      </c>
      <c r="H178" s="48"/>
      <c r="I178" s="25"/>
      <c r="J178" s="49"/>
    </row>
    <row r="179" spans="1:10" s="10" customFormat="1" ht="15" customHeight="1" x14ac:dyDescent="0.2">
      <c r="A179" s="12" t="s">
        <v>436</v>
      </c>
      <c r="B179" s="12" t="s">
        <v>46</v>
      </c>
      <c r="C179" s="12" t="s">
        <v>45</v>
      </c>
      <c r="D179" s="12" t="s">
        <v>152</v>
      </c>
      <c r="E179" s="12" t="s">
        <v>542</v>
      </c>
      <c r="F179" s="8" t="s">
        <v>284</v>
      </c>
      <c r="G179" s="7">
        <v>1</v>
      </c>
      <c r="H179" s="48"/>
      <c r="I179" s="25"/>
      <c r="J179" s="49"/>
    </row>
    <row r="180" spans="1:10" s="10" customFormat="1" ht="15" customHeight="1" x14ac:dyDescent="0.2">
      <c r="A180" s="11" t="s">
        <v>437</v>
      </c>
      <c r="B180" s="11" t="s">
        <v>602</v>
      </c>
      <c r="C180" s="11" t="s">
        <v>344</v>
      </c>
      <c r="D180" s="11" t="s">
        <v>406</v>
      </c>
      <c r="E180" s="11" t="s">
        <v>51</v>
      </c>
      <c r="F180" s="6" t="s">
        <v>244</v>
      </c>
      <c r="G180" s="3">
        <v>1</v>
      </c>
      <c r="H180" s="29"/>
      <c r="I180" s="23"/>
      <c r="J180" s="30"/>
    </row>
    <row r="181" spans="1:10" s="10" customFormat="1" ht="15" customHeight="1" x14ac:dyDescent="0.2">
      <c r="A181" s="11" t="s">
        <v>439</v>
      </c>
      <c r="B181" s="11" t="s">
        <v>419</v>
      </c>
      <c r="C181" s="11" t="s">
        <v>197</v>
      </c>
      <c r="D181" s="11" t="s">
        <v>304</v>
      </c>
      <c r="E181" s="11" t="s">
        <v>571</v>
      </c>
      <c r="F181" s="6" t="s">
        <v>284</v>
      </c>
      <c r="G181" s="3">
        <v>1</v>
      </c>
      <c r="H181" s="29"/>
      <c r="I181" s="23"/>
      <c r="J181" s="30"/>
    </row>
    <row r="182" spans="1:10" s="10" customFormat="1" ht="15" customHeight="1" x14ac:dyDescent="0.2">
      <c r="A182" s="11" t="s">
        <v>440</v>
      </c>
      <c r="B182" s="11" t="s">
        <v>165</v>
      </c>
      <c r="C182" s="11" t="s">
        <v>197</v>
      </c>
      <c r="D182" s="11" t="s">
        <v>429</v>
      </c>
      <c r="E182" s="11" t="s">
        <v>571</v>
      </c>
      <c r="F182" s="6" t="s">
        <v>284</v>
      </c>
      <c r="G182" s="3">
        <v>1</v>
      </c>
      <c r="H182" s="29"/>
      <c r="I182" s="23"/>
      <c r="J182" s="30"/>
    </row>
    <row r="183" spans="1:10" s="10" customFormat="1" ht="15" customHeight="1" x14ac:dyDescent="0.2">
      <c r="A183" s="11" t="s">
        <v>282</v>
      </c>
      <c r="B183" s="11" t="s">
        <v>601</v>
      </c>
      <c r="C183" s="11" t="s">
        <v>197</v>
      </c>
      <c r="D183" s="11" t="s">
        <v>117</v>
      </c>
      <c r="E183" s="11" t="s">
        <v>571</v>
      </c>
      <c r="F183" s="6" t="s">
        <v>284</v>
      </c>
      <c r="G183" s="3">
        <v>1</v>
      </c>
      <c r="H183" s="29"/>
      <c r="I183" s="23"/>
      <c r="J183" s="30"/>
    </row>
    <row r="184" spans="1:10" s="10" customFormat="1" ht="15" customHeight="1" x14ac:dyDescent="0.2">
      <c r="A184" s="9" t="s">
        <v>370</v>
      </c>
      <c r="B184" s="9"/>
      <c r="C184" s="9"/>
      <c r="D184" s="9" t="s">
        <v>341</v>
      </c>
      <c r="E184" s="9"/>
      <c r="F184" s="9"/>
      <c r="G184" s="1"/>
      <c r="H184" s="50"/>
      <c r="I184" s="24"/>
      <c r="J184" s="51"/>
    </row>
    <row r="185" spans="1:10" s="10" customFormat="1" ht="30" customHeight="1" x14ac:dyDescent="0.2">
      <c r="A185" s="11" t="s">
        <v>356</v>
      </c>
      <c r="B185" s="11" t="s">
        <v>336</v>
      </c>
      <c r="C185" s="11" t="s">
        <v>197</v>
      </c>
      <c r="D185" s="11" t="s">
        <v>314</v>
      </c>
      <c r="E185" s="11" t="s">
        <v>571</v>
      </c>
      <c r="F185" s="6" t="s">
        <v>284</v>
      </c>
      <c r="G185" s="3">
        <v>2</v>
      </c>
      <c r="H185" s="29"/>
      <c r="I185" s="23"/>
      <c r="J185" s="30"/>
    </row>
    <row r="186" spans="1:10" s="10" customFormat="1" ht="22.5" customHeight="1" x14ac:dyDescent="0.2">
      <c r="A186" s="11" t="s">
        <v>358</v>
      </c>
      <c r="B186" s="11" t="s">
        <v>262</v>
      </c>
      <c r="C186" s="11" t="s">
        <v>197</v>
      </c>
      <c r="D186" s="11" t="s">
        <v>182</v>
      </c>
      <c r="E186" s="11" t="s">
        <v>571</v>
      </c>
      <c r="F186" s="6" t="s">
        <v>284</v>
      </c>
      <c r="G186" s="3">
        <v>6</v>
      </c>
      <c r="H186" s="29"/>
      <c r="I186" s="23"/>
      <c r="J186" s="30"/>
    </row>
    <row r="187" spans="1:10" s="10" customFormat="1" ht="22.5" customHeight="1" x14ac:dyDescent="0.2">
      <c r="A187" s="11" t="s">
        <v>359</v>
      </c>
      <c r="B187" s="11" t="s">
        <v>499</v>
      </c>
      <c r="C187" s="11" t="s">
        <v>197</v>
      </c>
      <c r="D187" s="11" t="s">
        <v>84</v>
      </c>
      <c r="E187" s="11" t="s">
        <v>571</v>
      </c>
      <c r="F187" s="6" t="s">
        <v>284</v>
      </c>
      <c r="G187" s="3">
        <v>16</v>
      </c>
      <c r="H187" s="29"/>
      <c r="I187" s="23"/>
      <c r="J187" s="30"/>
    </row>
    <row r="188" spans="1:10" s="10" customFormat="1" ht="15" customHeight="1" x14ac:dyDescent="0.2">
      <c r="A188" s="12" t="s">
        <v>360</v>
      </c>
      <c r="B188" s="12" t="s">
        <v>71</v>
      </c>
      <c r="C188" s="12" t="s">
        <v>197</v>
      </c>
      <c r="D188" s="12" t="s">
        <v>325</v>
      </c>
      <c r="E188" s="12" t="s">
        <v>521</v>
      </c>
      <c r="F188" s="8" t="s">
        <v>284</v>
      </c>
      <c r="G188" s="7">
        <v>2</v>
      </c>
      <c r="H188" s="48"/>
      <c r="I188" s="25"/>
      <c r="J188" s="49"/>
    </row>
    <row r="189" spans="1:10" s="10" customFormat="1" ht="22.5" customHeight="1" x14ac:dyDescent="0.2">
      <c r="A189" s="11" t="s">
        <v>362</v>
      </c>
      <c r="B189" s="11" t="s">
        <v>528</v>
      </c>
      <c r="C189" s="11" t="s">
        <v>197</v>
      </c>
      <c r="D189" s="11" t="s">
        <v>202</v>
      </c>
      <c r="E189" s="11" t="s">
        <v>571</v>
      </c>
      <c r="F189" s="6" t="s">
        <v>284</v>
      </c>
      <c r="G189" s="3">
        <v>1</v>
      </c>
      <c r="H189" s="29"/>
      <c r="I189" s="23"/>
      <c r="J189" s="30"/>
    </row>
    <row r="190" spans="1:10" s="10" customFormat="1" ht="15" customHeight="1" x14ac:dyDescent="0.2">
      <c r="A190" s="11" t="s">
        <v>363</v>
      </c>
      <c r="B190" s="11" t="s">
        <v>242</v>
      </c>
      <c r="C190" s="11" t="s">
        <v>197</v>
      </c>
      <c r="D190" s="11" t="s">
        <v>597</v>
      </c>
      <c r="E190" s="11" t="s">
        <v>571</v>
      </c>
      <c r="F190" s="6" t="s">
        <v>284</v>
      </c>
      <c r="G190" s="3">
        <v>1</v>
      </c>
      <c r="H190" s="29"/>
      <c r="I190" s="23"/>
      <c r="J190" s="30"/>
    </row>
    <row r="191" spans="1:10" s="10" customFormat="1" ht="15" customHeight="1" x14ac:dyDescent="0.2">
      <c r="A191" s="11" t="s">
        <v>366</v>
      </c>
      <c r="B191" s="11" t="s">
        <v>165</v>
      </c>
      <c r="C191" s="11" t="s">
        <v>197</v>
      </c>
      <c r="D191" s="11" t="s">
        <v>429</v>
      </c>
      <c r="E191" s="11" t="s">
        <v>571</v>
      </c>
      <c r="F191" s="6" t="s">
        <v>284</v>
      </c>
      <c r="G191" s="3">
        <v>2</v>
      </c>
      <c r="H191" s="29"/>
      <c r="I191" s="23"/>
      <c r="J191" s="30"/>
    </row>
    <row r="192" spans="1:10" s="10" customFormat="1" ht="22.5" customHeight="1" x14ac:dyDescent="0.2">
      <c r="A192" s="11" t="s">
        <v>368</v>
      </c>
      <c r="B192" s="11" t="s">
        <v>348</v>
      </c>
      <c r="C192" s="11" t="s">
        <v>197</v>
      </c>
      <c r="D192" s="11" t="s">
        <v>189</v>
      </c>
      <c r="E192" s="11" t="s">
        <v>571</v>
      </c>
      <c r="F192" s="6" t="s">
        <v>284</v>
      </c>
      <c r="G192" s="3">
        <v>9</v>
      </c>
      <c r="H192" s="29"/>
      <c r="I192" s="23"/>
      <c r="J192" s="30"/>
    </row>
    <row r="193" spans="1:10" s="10" customFormat="1" ht="15" customHeight="1" x14ac:dyDescent="0.2">
      <c r="A193" s="9" t="s">
        <v>371</v>
      </c>
      <c r="B193" s="9"/>
      <c r="C193" s="9"/>
      <c r="D193" s="9" t="s">
        <v>103</v>
      </c>
      <c r="E193" s="9"/>
      <c r="F193" s="9"/>
      <c r="G193" s="1"/>
      <c r="H193" s="50"/>
      <c r="I193" s="24"/>
      <c r="J193" s="51"/>
    </row>
    <row r="194" spans="1:10" s="10" customFormat="1" ht="37.5" customHeight="1" x14ac:dyDescent="0.2">
      <c r="A194" s="11" t="s">
        <v>294</v>
      </c>
      <c r="B194" s="11" t="s">
        <v>283</v>
      </c>
      <c r="C194" s="11" t="s">
        <v>197</v>
      </c>
      <c r="D194" s="11" t="s">
        <v>110</v>
      </c>
      <c r="E194" s="11" t="s">
        <v>571</v>
      </c>
      <c r="F194" s="6" t="s">
        <v>284</v>
      </c>
      <c r="G194" s="3">
        <v>34</v>
      </c>
      <c r="H194" s="29"/>
      <c r="I194" s="23"/>
      <c r="J194" s="30"/>
    </row>
    <row r="195" spans="1:10" s="10" customFormat="1" ht="15" customHeight="1" x14ac:dyDescent="0.2">
      <c r="A195" s="11" t="s">
        <v>295</v>
      </c>
      <c r="B195" s="11" t="s">
        <v>384</v>
      </c>
      <c r="C195" s="11" t="s">
        <v>344</v>
      </c>
      <c r="D195" s="11" t="s">
        <v>483</v>
      </c>
      <c r="E195" s="11" t="s">
        <v>55</v>
      </c>
      <c r="F195" s="6" t="s">
        <v>244</v>
      </c>
      <c r="G195" s="3">
        <v>6</v>
      </c>
      <c r="H195" s="29"/>
      <c r="I195" s="23"/>
      <c r="J195" s="30"/>
    </row>
    <row r="196" spans="1:10" s="10" customFormat="1" ht="22.5" customHeight="1" x14ac:dyDescent="0.2">
      <c r="A196" s="11" t="s">
        <v>296</v>
      </c>
      <c r="B196" s="11" t="s">
        <v>79</v>
      </c>
      <c r="C196" s="11" t="s">
        <v>344</v>
      </c>
      <c r="D196" s="11" t="s">
        <v>134</v>
      </c>
      <c r="E196" s="11" t="s">
        <v>451</v>
      </c>
      <c r="F196" s="6" t="s">
        <v>244</v>
      </c>
      <c r="G196" s="3">
        <v>34</v>
      </c>
      <c r="H196" s="29"/>
      <c r="I196" s="23"/>
      <c r="J196" s="30"/>
    </row>
    <row r="197" spans="1:10" s="10" customFormat="1" ht="22.5" customHeight="1" x14ac:dyDescent="0.2">
      <c r="A197" s="11" t="s">
        <v>297</v>
      </c>
      <c r="B197" s="11" t="s">
        <v>88</v>
      </c>
      <c r="C197" s="11" t="s">
        <v>344</v>
      </c>
      <c r="D197" s="11" t="s">
        <v>399</v>
      </c>
      <c r="E197" s="11" t="s">
        <v>451</v>
      </c>
      <c r="F197" s="6" t="s">
        <v>162</v>
      </c>
      <c r="G197" s="3">
        <v>6</v>
      </c>
      <c r="H197" s="29"/>
      <c r="I197" s="23"/>
      <c r="J197" s="30"/>
    </row>
    <row r="198" spans="1:10" s="10" customFormat="1" ht="15" customHeight="1" x14ac:dyDescent="0.2">
      <c r="A198" s="9" t="s">
        <v>372</v>
      </c>
      <c r="B198" s="9"/>
      <c r="C198" s="9"/>
      <c r="D198" s="9" t="s">
        <v>364</v>
      </c>
      <c r="E198" s="9"/>
      <c r="F198" s="9"/>
      <c r="G198" s="1"/>
      <c r="H198" s="50"/>
      <c r="I198" s="24"/>
      <c r="J198" s="51"/>
    </row>
    <row r="199" spans="1:10" s="10" customFormat="1" ht="45" customHeight="1" x14ac:dyDescent="0.2">
      <c r="A199" s="11" t="s">
        <v>216</v>
      </c>
      <c r="B199" s="11" t="s">
        <v>174</v>
      </c>
      <c r="C199" s="11" t="s">
        <v>197</v>
      </c>
      <c r="D199" s="11" t="s">
        <v>561</v>
      </c>
      <c r="E199" s="11" t="s">
        <v>571</v>
      </c>
      <c r="F199" s="6" t="s">
        <v>284</v>
      </c>
      <c r="G199" s="3">
        <v>18</v>
      </c>
      <c r="H199" s="29"/>
      <c r="I199" s="23"/>
      <c r="J199" s="30"/>
    </row>
    <row r="200" spans="1:10" s="10" customFormat="1" ht="22.5" customHeight="1" x14ac:dyDescent="0.2">
      <c r="A200" s="11" t="s">
        <v>218</v>
      </c>
      <c r="B200" s="11" t="s">
        <v>503</v>
      </c>
      <c r="C200" s="11" t="s">
        <v>197</v>
      </c>
      <c r="D200" s="11" t="s">
        <v>243</v>
      </c>
      <c r="E200" s="11" t="s">
        <v>571</v>
      </c>
      <c r="F200" s="6" t="s">
        <v>65</v>
      </c>
      <c r="G200" s="3">
        <v>30.4</v>
      </c>
      <c r="H200" s="29"/>
      <c r="I200" s="23"/>
      <c r="J200" s="30"/>
    </row>
    <row r="201" spans="1:10" s="10" customFormat="1" ht="30" customHeight="1" x14ac:dyDescent="0.2">
      <c r="A201" s="11" t="s">
        <v>220</v>
      </c>
      <c r="B201" s="11" t="s">
        <v>268</v>
      </c>
      <c r="C201" s="11" t="s">
        <v>197</v>
      </c>
      <c r="D201" s="11" t="s">
        <v>491</v>
      </c>
      <c r="E201" s="11" t="s">
        <v>571</v>
      </c>
      <c r="F201" s="6" t="s">
        <v>65</v>
      </c>
      <c r="G201" s="3">
        <v>152.5</v>
      </c>
      <c r="H201" s="29"/>
      <c r="I201" s="23"/>
      <c r="J201" s="30"/>
    </row>
    <row r="202" spans="1:10" s="10" customFormat="1" ht="15" customHeight="1" x14ac:dyDescent="0.2">
      <c r="A202" s="9" t="s">
        <v>257</v>
      </c>
      <c r="B202" s="9"/>
      <c r="C202" s="9"/>
      <c r="D202" s="9" t="s">
        <v>556</v>
      </c>
      <c r="E202" s="9"/>
      <c r="F202" s="9"/>
      <c r="G202" s="1"/>
      <c r="H202" s="50"/>
      <c r="I202" s="24"/>
      <c r="J202" s="51"/>
    </row>
    <row r="203" spans="1:10" s="10" customFormat="1" ht="30" customHeight="1" x14ac:dyDescent="0.2">
      <c r="A203" s="11" t="s">
        <v>298</v>
      </c>
      <c r="B203" s="11" t="s">
        <v>234</v>
      </c>
      <c r="C203" s="11" t="s">
        <v>197</v>
      </c>
      <c r="D203" s="11" t="s">
        <v>447</v>
      </c>
      <c r="E203" s="11" t="s">
        <v>571</v>
      </c>
      <c r="F203" s="6" t="s">
        <v>65</v>
      </c>
      <c r="G203" s="3">
        <v>30</v>
      </c>
      <c r="H203" s="29"/>
      <c r="I203" s="23"/>
      <c r="J203" s="30"/>
    </row>
    <row r="204" spans="1:10" s="10" customFormat="1" ht="15" customHeight="1" x14ac:dyDescent="0.2">
      <c r="A204" s="11" t="s">
        <v>300</v>
      </c>
      <c r="B204" s="11" t="s">
        <v>2</v>
      </c>
      <c r="C204" s="11" t="s">
        <v>197</v>
      </c>
      <c r="D204" s="11" t="s">
        <v>207</v>
      </c>
      <c r="E204" s="11" t="s">
        <v>571</v>
      </c>
      <c r="F204" s="6" t="s">
        <v>284</v>
      </c>
      <c r="G204" s="3">
        <v>1</v>
      </c>
      <c r="H204" s="29"/>
      <c r="I204" s="23"/>
      <c r="J204" s="30"/>
    </row>
    <row r="205" spans="1:10" s="10" customFormat="1" ht="15" customHeight="1" x14ac:dyDescent="0.2">
      <c r="A205" s="12" t="s">
        <v>301</v>
      </c>
      <c r="B205" s="12" t="s">
        <v>54</v>
      </c>
      <c r="C205" s="12" t="s">
        <v>344</v>
      </c>
      <c r="D205" s="12" t="s">
        <v>58</v>
      </c>
      <c r="E205" s="12" t="s">
        <v>521</v>
      </c>
      <c r="F205" s="8" t="s">
        <v>244</v>
      </c>
      <c r="G205" s="7">
        <v>10</v>
      </c>
      <c r="H205" s="48"/>
      <c r="I205" s="25"/>
      <c r="J205" s="49"/>
    </row>
    <row r="206" spans="1:10" s="10" customFormat="1" ht="22.5" customHeight="1" x14ac:dyDescent="0.2">
      <c r="A206" s="11" t="s">
        <v>302</v>
      </c>
      <c r="B206" s="11" t="s">
        <v>605</v>
      </c>
      <c r="C206" s="11" t="s">
        <v>344</v>
      </c>
      <c r="D206" s="11" t="s">
        <v>170</v>
      </c>
      <c r="E206" s="11" t="s">
        <v>562</v>
      </c>
      <c r="F206" s="6" t="s">
        <v>244</v>
      </c>
      <c r="G206" s="3">
        <v>2</v>
      </c>
      <c r="H206" s="29"/>
      <c r="I206" s="23"/>
      <c r="J206" s="30"/>
    </row>
    <row r="207" spans="1:10" s="10" customFormat="1" ht="15" customHeight="1" x14ac:dyDescent="0.2">
      <c r="A207" s="9" t="s">
        <v>259</v>
      </c>
      <c r="B207" s="9"/>
      <c r="C207" s="9"/>
      <c r="D207" s="9" t="s">
        <v>258</v>
      </c>
      <c r="E207" s="9"/>
      <c r="F207" s="9"/>
      <c r="G207" s="1"/>
      <c r="H207" s="50"/>
      <c r="I207" s="24"/>
      <c r="J207" s="51"/>
    </row>
    <row r="208" spans="1:10" s="10" customFormat="1" ht="45" customHeight="1" x14ac:dyDescent="0.2">
      <c r="A208" s="11" t="s">
        <v>226</v>
      </c>
      <c r="B208" s="11" t="s">
        <v>501</v>
      </c>
      <c r="C208" s="11" t="s">
        <v>344</v>
      </c>
      <c r="D208" s="11" t="s">
        <v>102</v>
      </c>
      <c r="E208" s="11" t="s">
        <v>157</v>
      </c>
      <c r="F208" s="6" t="s">
        <v>244</v>
      </c>
      <c r="G208" s="3">
        <v>3</v>
      </c>
      <c r="H208" s="29"/>
      <c r="I208" s="23"/>
      <c r="J208" s="30"/>
    </row>
    <row r="209" spans="1:10" s="10" customFormat="1" ht="15" customHeight="1" x14ac:dyDescent="0.2">
      <c r="A209" s="11" t="s">
        <v>228</v>
      </c>
      <c r="B209" s="11" t="s">
        <v>29</v>
      </c>
      <c r="C209" s="11" t="s">
        <v>344</v>
      </c>
      <c r="D209" s="11" t="s">
        <v>404</v>
      </c>
      <c r="E209" s="11" t="s">
        <v>90</v>
      </c>
      <c r="F209" s="6" t="s">
        <v>307</v>
      </c>
      <c r="G209" s="3">
        <v>26</v>
      </c>
      <c r="H209" s="29"/>
      <c r="I209" s="23"/>
      <c r="J209" s="30"/>
    </row>
    <row r="210" spans="1:10" s="10" customFormat="1" ht="22.5" customHeight="1" x14ac:dyDescent="0.2">
      <c r="A210" s="11" t="s">
        <v>229</v>
      </c>
      <c r="B210" s="11" t="s">
        <v>194</v>
      </c>
      <c r="C210" s="11" t="s">
        <v>344</v>
      </c>
      <c r="D210" s="11" t="s">
        <v>99</v>
      </c>
      <c r="E210" s="11" t="s">
        <v>38</v>
      </c>
      <c r="F210" s="6" t="s">
        <v>150</v>
      </c>
      <c r="G210" s="3">
        <v>3.21</v>
      </c>
      <c r="H210" s="29"/>
      <c r="I210" s="23"/>
      <c r="J210" s="30"/>
    </row>
    <row r="211" spans="1:10" s="10" customFormat="1" ht="30" customHeight="1" x14ac:dyDescent="0.2">
      <c r="A211" s="11" t="s">
        <v>230</v>
      </c>
      <c r="B211" s="11" t="s">
        <v>245</v>
      </c>
      <c r="C211" s="11" t="s">
        <v>197</v>
      </c>
      <c r="D211" s="11" t="s">
        <v>413</v>
      </c>
      <c r="E211" s="11" t="s">
        <v>571</v>
      </c>
      <c r="F211" s="6" t="s">
        <v>65</v>
      </c>
      <c r="G211" s="3">
        <v>5</v>
      </c>
      <c r="H211" s="29"/>
      <c r="I211" s="23"/>
      <c r="J211" s="30"/>
    </row>
    <row r="212" spans="1:10" s="10" customFormat="1" ht="15" customHeight="1" x14ac:dyDescent="0.2">
      <c r="A212" s="9" t="s">
        <v>260</v>
      </c>
      <c r="B212" s="9"/>
      <c r="C212" s="9"/>
      <c r="D212" s="9" t="s">
        <v>288</v>
      </c>
      <c r="E212" s="9"/>
      <c r="F212" s="9"/>
      <c r="G212" s="1"/>
      <c r="H212" s="50"/>
      <c r="I212" s="24"/>
      <c r="J212" s="51"/>
    </row>
    <row r="213" spans="1:10" s="10" customFormat="1" ht="15" customHeight="1" x14ac:dyDescent="0.2">
      <c r="A213" s="12" t="s">
        <v>144</v>
      </c>
      <c r="B213" s="12" t="s">
        <v>82</v>
      </c>
      <c r="C213" s="12" t="s">
        <v>344</v>
      </c>
      <c r="D213" s="12" t="s">
        <v>607</v>
      </c>
      <c r="E213" s="12" t="s">
        <v>521</v>
      </c>
      <c r="F213" s="8" t="s">
        <v>244</v>
      </c>
      <c r="G213" s="7">
        <v>2</v>
      </c>
      <c r="H213" s="48"/>
      <c r="I213" s="25"/>
      <c r="J213" s="49"/>
    </row>
    <row r="214" spans="1:10" s="10" customFormat="1" ht="15" customHeight="1" x14ac:dyDescent="0.2">
      <c r="A214" s="11" t="s">
        <v>145</v>
      </c>
      <c r="B214" s="11" t="s">
        <v>114</v>
      </c>
      <c r="C214" s="11" t="s">
        <v>197</v>
      </c>
      <c r="D214" s="11" t="s">
        <v>109</v>
      </c>
      <c r="E214" s="11" t="s">
        <v>179</v>
      </c>
      <c r="F214" s="6" t="s">
        <v>150</v>
      </c>
      <c r="G214" s="3">
        <v>309.25</v>
      </c>
      <c r="H214" s="29"/>
      <c r="I214" s="23"/>
      <c r="J214" s="30"/>
    </row>
    <row r="215" spans="1:10" s="10" customFormat="1" ht="15" customHeight="1" x14ac:dyDescent="0.2">
      <c r="A215" s="11" t="s">
        <v>146</v>
      </c>
      <c r="B215" s="11" t="s">
        <v>529</v>
      </c>
      <c r="C215" s="11" t="s">
        <v>197</v>
      </c>
      <c r="D215" s="11" t="s">
        <v>7</v>
      </c>
      <c r="E215" s="11" t="s">
        <v>477</v>
      </c>
      <c r="F215" s="6" t="s">
        <v>138</v>
      </c>
      <c r="G215" s="3">
        <v>39.58</v>
      </c>
      <c r="H215" s="29"/>
      <c r="I215" s="23"/>
      <c r="J215" s="30"/>
    </row>
    <row r="216" spans="1:10" s="10" customFormat="1" ht="22.5" customHeight="1" x14ac:dyDescent="0.2">
      <c r="A216" s="11" t="s">
        <v>147</v>
      </c>
      <c r="B216" s="11" t="s">
        <v>203</v>
      </c>
      <c r="C216" s="11" t="s">
        <v>197</v>
      </c>
      <c r="D216" s="11" t="s">
        <v>306</v>
      </c>
      <c r="E216" s="11" t="s">
        <v>236</v>
      </c>
      <c r="F216" s="6" t="s">
        <v>580</v>
      </c>
      <c r="G216" s="3">
        <v>39.58</v>
      </c>
      <c r="H216" s="31"/>
      <c r="I216" s="32"/>
      <c r="J216" s="3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19"/>
      <c r="G218" s="119"/>
      <c r="H218" s="120"/>
      <c r="I218" s="120"/>
      <c r="J218" s="120"/>
    </row>
    <row r="219" spans="1:10" x14ac:dyDescent="0.25">
      <c r="A219" s="13"/>
      <c r="B219" s="13"/>
      <c r="C219" s="13"/>
      <c r="D219" s="13"/>
      <c r="E219" s="13"/>
      <c r="F219" s="119"/>
      <c r="G219" s="119"/>
      <c r="H219" s="120"/>
      <c r="I219" s="120"/>
      <c r="J219" s="120"/>
    </row>
    <row r="220" spans="1:10" x14ac:dyDescent="0.25">
      <c r="A220" s="13"/>
      <c r="B220" s="13"/>
      <c r="C220" s="13"/>
      <c r="D220" s="13"/>
      <c r="E220" s="13"/>
      <c r="F220" s="119"/>
      <c r="G220" s="119"/>
      <c r="H220" s="120"/>
      <c r="I220" s="120"/>
      <c r="J220" s="120"/>
    </row>
    <row r="221" spans="1:10" ht="39.950000000000003" customHeight="1" x14ac:dyDescent="0.25">
      <c r="A221" s="121" t="s">
        <v>655</v>
      </c>
      <c r="B221" s="121"/>
      <c r="C221" s="121"/>
      <c r="D221" s="121"/>
      <c r="E221" s="121"/>
      <c r="F221" s="121"/>
      <c r="G221" s="121"/>
      <c r="H221" s="121"/>
      <c r="I221" s="121"/>
      <c r="J221" s="121"/>
    </row>
  </sheetData>
  <mergeCells count="54">
    <mergeCell ref="A1:D1"/>
    <mergeCell ref="E1:F1"/>
    <mergeCell ref="G1:H1"/>
    <mergeCell ref="I1:J1"/>
    <mergeCell ref="A2:D2"/>
    <mergeCell ref="E2:F2"/>
    <mergeCell ref="G2:H2"/>
    <mergeCell ref="I2:J2"/>
    <mergeCell ref="A3:J3"/>
    <mergeCell ref="F218:G218"/>
    <mergeCell ref="H218:J218"/>
    <mergeCell ref="F219:G219"/>
    <mergeCell ref="H219:J219"/>
    <mergeCell ref="A22:A23"/>
    <mergeCell ref="H24:J24"/>
    <mergeCell ref="H62:J62"/>
    <mergeCell ref="H68:J68"/>
    <mergeCell ref="H72:J72"/>
    <mergeCell ref="H74:J74"/>
    <mergeCell ref="I80:J80"/>
    <mergeCell ref="H77:J77"/>
    <mergeCell ref="H78:J78"/>
    <mergeCell ref="H4:J4"/>
    <mergeCell ref="H143:J152"/>
    <mergeCell ref="A221:J221"/>
    <mergeCell ref="H17:I17"/>
    <mergeCell ref="H18:J18"/>
    <mergeCell ref="G22:G23"/>
    <mergeCell ref="F22:F23"/>
    <mergeCell ref="E22:E23"/>
    <mergeCell ref="D22:D23"/>
    <mergeCell ref="C22:C23"/>
    <mergeCell ref="B22:B23"/>
    <mergeCell ref="F220:G220"/>
    <mergeCell ref="H220:J220"/>
    <mergeCell ref="H63:J63"/>
    <mergeCell ref="H64:J64"/>
    <mergeCell ref="H65:J65"/>
    <mergeCell ref="H66:J66"/>
    <mergeCell ref="H67:J67"/>
    <mergeCell ref="H155:J172"/>
    <mergeCell ref="H120:J120"/>
    <mergeCell ref="H116:J119"/>
    <mergeCell ref="H41:J41"/>
    <mergeCell ref="H42:J48"/>
    <mergeCell ref="H121:J141"/>
    <mergeCell ref="H102:J102"/>
    <mergeCell ref="H104:J107"/>
    <mergeCell ref="H109:J111"/>
    <mergeCell ref="H95:J101"/>
    <mergeCell ref="H83:J84"/>
    <mergeCell ref="H87:J87"/>
    <mergeCell ref="H88:J88"/>
    <mergeCell ref="H85:J86"/>
  </mergeCells>
  <pageMargins left="0.51181102362204722" right="0.51181102362204722" top="0.78740157480314965" bottom="0.78740157480314965" header="0.31496062992125984" footer="0.31496062992125984"/>
  <pageSetup paperSize="9" scale="51" fitToHeight="0" orientation="portrait" r:id="rId1"/>
  <headerFoot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topLeftCell="A27" workbookViewId="0">
      <selection sqref="A1:I50"/>
    </sheetView>
  </sheetViews>
  <sheetFormatPr defaultColWidth="9.140625" defaultRowHeight="15" x14ac:dyDescent="0.25"/>
  <cols>
    <col min="1" max="1" width="9.7109375" customWidth="1"/>
    <col min="2" max="2" width="37.42578125" customWidth="1"/>
    <col min="3" max="3" width="27.28515625" customWidth="1"/>
    <col min="4" max="4" width="10" bestFit="1" customWidth="1"/>
    <col min="5" max="9" width="11" bestFit="1" customWidth="1"/>
  </cols>
  <sheetData>
    <row r="1" spans="1:9" x14ac:dyDescent="0.25">
      <c r="A1" s="172" t="s">
        <v>653</v>
      </c>
      <c r="B1" s="173"/>
      <c r="C1" s="173"/>
      <c r="D1" s="173"/>
      <c r="E1" s="173"/>
      <c r="F1" s="173"/>
      <c r="G1" s="173"/>
      <c r="H1" s="173"/>
      <c r="I1" s="174"/>
    </row>
    <row r="2" spans="1:9" x14ac:dyDescent="0.25">
      <c r="A2" s="175"/>
      <c r="B2" s="176"/>
      <c r="C2" s="176"/>
      <c r="D2" s="176"/>
      <c r="E2" s="176"/>
      <c r="F2" s="176"/>
      <c r="G2" s="176"/>
      <c r="H2" s="176"/>
      <c r="I2" s="177"/>
    </row>
    <row r="3" spans="1:9" x14ac:dyDescent="0.25">
      <c r="A3" s="175"/>
      <c r="B3" s="176"/>
      <c r="C3" s="176"/>
      <c r="D3" s="176"/>
      <c r="E3" s="176"/>
      <c r="F3" s="176"/>
      <c r="G3" s="176"/>
      <c r="H3" s="176"/>
      <c r="I3" s="177"/>
    </row>
    <row r="4" spans="1:9" x14ac:dyDescent="0.25">
      <c r="A4" s="175"/>
      <c r="B4" s="176"/>
      <c r="C4" s="176"/>
      <c r="D4" s="176"/>
      <c r="E4" s="176"/>
      <c r="F4" s="176"/>
      <c r="G4" s="176"/>
      <c r="H4" s="176"/>
      <c r="I4" s="177"/>
    </row>
    <row r="5" spans="1:9" x14ac:dyDescent="0.25">
      <c r="A5" s="175"/>
      <c r="B5" s="176"/>
      <c r="C5" s="176"/>
      <c r="D5" s="176"/>
      <c r="E5" s="176"/>
      <c r="F5" s="176"/>
      <c r="G5" s="176"/>
      <c r="H5" s="176"/>
      <c r="I5" s="177"/>
    </row>
    <row r="6" spans="1:9" x14ac:dyDescent="0.25">
      <c r="A6" s="175"/>
      <c r="B6" s="176"/>
      <c r="C6" s="176"/>
      <c r="D6" s="176"/>
      <c r="E6" s="176"/>
      <c r="F6" s="176"/>
      <c r="G6" s="176"/>
      <c r="H6" s="176"/>
      <c r="I6" s="177"/>
    </row>
    <row r="7" spans="1:9" x14ac:dyDescent="0.25">
      <c r="A7" s="175"/>
      <c r="B7" s="176"/>
      <c r="C7" s="176"/>
      <c r="D7" s="176"/>
      <c r="E7" s="176"/>
      <c r="F7" s="176"/>
      <c r="G7" s="176"/>
      <c r="H7" s="176"/>
      <c r="I7" s="177"/>
    </row>
    <row r="8" spans="1:9" x14ac:dyDescent="0.25">
      <c r="A8" s="178"/>
      <c r="B8" s="179"/>
      <c r="C8" s="179"/>
      <c r="D8" s="179"/>
      <c r="E8" s="179"/>
      <c r="F8" s="179"/>
      <c r="G8" s="179"/>
      <c r="H8" s="179"/>
      <c r="I8" s="180"/>
    </row>
    <row r="9" spans="1:9" x14ac:dyDescent="0.25">
      <c r="A9" s="196"/>
      <c r="B9" s="173"/>
      <c r="C9" s="173"/>
      <c r="D9" s="173"/>
      <c r="E9" s="173"/>
      <c r="F9" s="173"/>
      <c r="G9" s="173"/>
      <c r="H9" s="173"/>
      <c r="I9" s="174"/>
    </row>
    <row r="10" spans="1:9" x14ac:dyDescent="0.25">
      <c r="A10" s="190" t="s">
        <v>377</v>
      </c>
      <c r="B10" s="191"/>
      <c r="C10" s="90" t="s">
        <v>497</v>
      </c>
      <c r="D10" s="191" t="s">
        <v>445</v>
      </c>
      <c r="E10" s="191"/>
      <c r="F10" s="191" t="s">
        <v>375</v>
      </c>
      <c r="G10" s="191"/>
      <c r="H10" s="191"/>
      <c r="I10" s="192"/>
    </row>
    <row r="11" spans="1:9" ht="48" x14ac:dyDescent="0.25">
      <c r="A11" s="193" t="s">
        <v>657</v>
      </c>
      <c r="B11" s="194"/>
      <c r="C11" s="91" t="s">
        <v>158</v>
      </c>
      <c r="D11" s="194" t="s">
        <v>269</v>
      </c>
      <c r="E11" s="194"/>
      <c r="F11" s="194" t="s">
        <v>611</v>
      </c>
      <c r="G11" s="194"/>
      <c r="H11" s="194"/>
      <c r="I11" s="195"/>
    </row>
    <row r="12" spans="1:9" ht="15" customHeight="1" x14ac:dyDescent="0.25">
      <c r="A12" s="181" t="s">
        <v>659</v>
      </c>
      <c r="B12" s="182"/>
      <c r="C12" s="182"/>
      <c r="D12" s="182"/>
      <c r="E12" s="182"/>
      <c r="F12" s="182"/>
      <c r="G12" s="182"/>
      <c r="H12" s="182"/>
      <c r="I12" s="183"/>
    </row>
    <row r="13" spans="1:9" s="2" customFormat="1" ht="12" x14ac:dyDescent="0.2">
      <c r="A13" s="102" t="s">
        <v>407</v>
      </c>
      <c r="B13" s="103" t="s">
        <v>210</v>
      </c>
      <c r="C13" s="104" t="s">
        <v>660</v>
      </c>
      <c r="D13" s="104" t="s">
        <v>661</v>
      </c>
      <c r="E13" s="104" t="s">
        <v>662</v>
      </c>
      <c r="F13" s="104" t="s">
        <v>663</v>
      </c>
      <c r="G13" s="104" t="s">
        <v>664</v>
      </c>
      <c r="H13" s="104" t="s">
        <v>672</v>
      </c>
      <c r="I13" s="105" t="s">
        <v>671</v>
      </c>
    </row>
    <row r="14" spans="1:9" s="10" customFormat="1" ht="11.25" x14ac:dyDescent="0.2">
      <c r="A14" s="71" t="s">
        <v>31</v>
      </c>
      <c r="B14" s="72" t="s">
        <v>227</v>
      </c>
      <c r="C14" s="73">
        <f>'Planilha orçamentária'!J7</f>
        <v>45977.552365112497</v>
      </c>
      <c r="D14" s="73">
        <f>D15*C14</f>
        <v>45977.552365112497</v>
      </c>
      <c r="E14" s="73"/>
      <c r="F14" s="73"/>
      <c r="G14" s="73"/>
      <c r="H14" s="73"/>
      <c r="I14" s="74"/>
    </row>
    <row r="15" spans="1:9" s="10" customFormat="1" ht="11.25" x14ac:dyDescent="0.2">
      <c r="A15" s="75"/>
      <c r="B15" s="76"/>
      <c r="C15" s="77">
        <f>C14/$F$44</f>
        <v>6.7661627629108476E-2</v>
      </c>
      <c r="D15" s="78">
        <v>1</v>
      </c>
      <c r="E15" s="78"/>
      <c r="F15" s="78"/>
      <c r="G15" s="78"/>
      <c r="H15" s="78"/>
      <c r="I15" s="92"/>
    </row>
    <row r="16" spans="1:9" s="10" customFormat="1" ht="11.25" x14ac:dyDescent="0.2">
      <c r="A16" s="71" t="s">
        <v>32</v>
      </c>
      <c r="B16" s="72" t="s">
        <v>500</v>
      </c>
      <c r="C16" s="73">
        <f>'Planilha orçamentária'!J17</f>
        <v>3482.2614266840001</v>
      </c>
      <c r="D16" s="73">
        <f t="shared" ref="D16" si="0">D17*C16</f>
        <v>3482.2614266840001</v>
      </c>
      <c r="E16" s="73"/>
      <c r="F16" s="73"/>
      <c r="G16" s="73"/>
      <c r="H16" s="73"/>
      <c r="I16" s="74"/>
    </row>
    <row r="17" spans="1:9" s="10" customFormat="1" ht="11.25" x14ac:dyDescent="0.2">
      <c r="A17" s="75"/>
      <c r="B17" s="76"/>
      <c r="C17" s="77">
        <f>C16/$F$44</f>
        <v>5.1245763169046922E-3</v>
      </c>
      <c r="D17" s="78">
        <v>1</v>
      </c>
      <c r="E17" s="78"/>
      <c r="F17" s="78"/>
      <c r="G17" s="78"/>
      <c r="H17" s="78"/>
      <c r="I17" s="92"/>
    </row>
    <row r="18" spans="1:9" s="10" customFormat="1" ht="11.25" x14ac:dyDescent="0.2">
      <c r="A18" s="71" t="s">
        <v>33</v>
      </c>
      <c r="B18" s="72" t="s">
        <v>354</v>
      </c>
      <c r="C18" s="73">
        <f>'Planilha orçamentária'!J22</f>
        <v>57465.74662626248</v>
      </c>
      <c r="D18" s="73">
        <f t="shared" ref="D18" si="1">D19*C18</f>
        <v>11493.149325252496</v>
      </c>
      <c r="E18" s="73">
        <f t="shared" ref="E18" si="2">E19*C18</f>
        <v>17239.723987878744</v>
      </c>
      <c r="F18" s="73">
        <f t="shared" ref="F18" si="3">F19*C18</f>
        <v>28732.87331313124</v>
      </c>
      <c r="G18" s="73"/>
      <c r="H18" s="73"/>
      <c r="I18" s="74"/>
    </row>
    <row r="19" spans="1:9" s="10" customFormat="1" ht="11.25" x14ac:dyDescent="0.2">
      <c r="A19" s="75"/>
      <c r="B19" s="76"/>
      <c r="C19" s="77">
        <f>C18/$F$44</f>
        <v>8.4567919552960627E-2</v>
      </c>
      <c r="D19" s="78">
        <v>0.2</v>
      </c>
      <c r="E19" s="78">
        <v>0.3</v>
      </c>
      <c r="F19" s="78">
        <v>0.5</v>
      </c>
      <c r="G19" s="78"/>
      <c r="H19" s="78"/>
      <c r="I19" s="92"/>
    </row>
    <row r="20" spans="1:9" s="10" customFormat="1" ht="11.25" x14ac:dyDescent="0.2">
      <c r="A20" s="71" t="s">
        <v>34</v>
      </c>
      <c r="B20" s="72" t="s">
        <v>414</v>
      </c>
      <c r="C20" s="73">
        <f>'Planilha orçamentária'!J30+'Planilha orçamentária'!J38</f>
        <v>130795.15940511251</v>
      </c>
      <c r="D20" s="73">
        <f t="shared" ref="D20" si="4">D21*C20</f>
        <v>31390.838257227002</v>
      </c>
      <c r="E20" s="73">
        <f t="shared" ref="E20" si="5">E21*C20</f>
        <v>56241.918544198379</v>
      </c>
      <c r="F20" s="73">
        <f t="shared" ref="F20" si="6">F21*C20</f>
        <v>43162.402603687129</v>
      </c>
      <c r="G20" s="73"/>
      <c r="H20" s="73"/>
      <c r="I20" s="74"/>
    </row>
    <row r="21" spans="1:9" s="10" customFormat="1" ht="11.25" x14ac:dyDescent="0.2">
      <c r="A21" s="75"/>
      <c r="B21" s="76"/>
      <c r="C21" s="77">
        <f>C20/$F$44</f>
        <v>0.192481176489808</v>
      </c>
      <c r="D21" s="78">
        <v>0.24</v>
      </c>
      <c r="E21" s="78">
        <v>0.43</v>
      </c>
      <c r="F21" s="78">
        <v>0.33</v>
      </c>
      <c r="G21" s="78"/>
      <c r="H21" s="78"/>
      <c r="I21" s="92"/>
    </row>
    <row r="22" spans="1:9" s="10" customFormat="1" ht="11.25" x14ac:dyDescent="0.2">
      <c r="A22" s="71" t="s">
        <v>35</v>
      </c>
      <c r="B22" s="72" t="s">
        <v>68</v>
      </c>
      <c r="C22" s="73">
        <f>'Planilha orçamentária'!J45+'Planilha orçamentária'!J47+'Planilha orçamentária'!J81</f>
        <v>63062.247567824998</v>
      </c>
      <c r="D22" s="73">
        <f t="shared" ref="D22" si="7">D23*C22</f>
        <v>0</v>
      </c>
      <c r="E22" s="73">
        <f t="shared" ref="E22" si="8">E23*C22</f>
        <v>29008.633881199501</v>
      </c>
      <c r="F22" s="73">
        <f t="shared" ref="F22" si="9">F23*C22</f>
        <v>34053.613686625504</v>
      </c>
      <c r="G22" s="73"/>
      <c r="H22" s="73"/>
      <c r="I22" s="74"/>
    </row>
    <row r="23" spans="1:9" s="10" customFormat="1" ht="11.25" x14ac:dyDescent="0.2">
      <c r="A23" s="75"/>
      <c r="B23" s="76"/>
      <c r="C23" s="77">
        <f>C22/$F$44</f>
        <v>9.2803859555310328E-2</v>
      </c>
      <c r="D23" s="78"/>
      <c r="E23" s="78">
        <v>0.46</v>
      </c>
      <c r="F23" s="78">
        <v>0.54</v>
      </c>
      <c r="G23" s="78"/>
      <c r="H23" s="78"/>
      <c r="I23" s="92"/>
    </row>
    <row r="24" spans="1:9" s="10" customFormat="1" ht="11.25" x14ac:dyDescent="0.2">
      <c r="A24" s="71" t="s">
        <v>36</v>
      </c>
      <c r="B24" s="72" t="s">
        <v>153</v>
      </c>
      <c r="C24" s="73">
        <f>'Planilha orçamentária'!J49</f>
        <v>2113.69698625</v>
      </c>
      <c r="D24" s="73">
        <f t="shared" ref="D24" si="10">D25*C24</f>
        <v>1585.2727396875</v>
      </c>
      <c r="E24" s="73">
        <f t="shared" ref="E24" si="11">E25*C24</f>
        <v>528.4242465625</v>
      </c>
      <c r="F24" s="73">
        <f t="shared" ref="F24" si="12">F25*C24</f>
        <v>0</v>
      </c>
      <c r="G24" s="73"/>
      <c r="H24" s="73"/>
      <c r="I24" s="74"/>
    </row>
    <row r="25" spans="1:9" s="10" customFormat="1" ht="11.25" x14ac:dyDescent="0.2">
      <c r="A25" s="75"/>
      <c r="B25" s="76"/>
      <c r="C25" s="77">
        <f>C24/$F$44</f>
        <v>3.1105652877889203E-3</v>
      </c>
      <c r="D25" s="78">
        <v>0.75</v>
      </c>
      <c r="E25" s="78">
        <v>0.25</v>
      </c>
      <c r="F25" s="78"/>
      <c r="G25" s="78"/>
      <c r="H25" s="78"/>
      <c r="I25" s="92"/>
    </row>
    <row r="26" spans="1:9" s="10" customFormat="1" ht="11.25" x14ac:dyDescent="0.2">
      <c r="A26" s="71" t="s">
        <v>37</v>
      </c>
      <c r="B26" s="72" t="s">
        <v>606</v>
      </c>
      <c r="C26" s="73">
        <f>'Planilha orçamentária'!J54+'Planilha orçamentária'!J65+'Planilha orçamentária'!J74</f>
        <v>204643.7778218</v>
      </c>
      <c r="D26" s="73"/>
      <c r="E26" s="73">
        <f t="shared" ref="E26" si="13">E27*C26</f>
        <v>49114.506677231999</v>
      </c>
      <c r="F26" s="73">
        <f t="shared" ref="F26" si="14">F27*C26</f>
        <v>49114.506677231999</v>
      </c>
      <c r="G26" s="73">
        <f t="shared" ref="G26" si="15">G27*C26</f>
        <v>53207.382233668002</v>
      </c>
      <c r="H26" s="73">
        <f t="shared" ref="H26" si="16">H27*C26</f>
        <v>53207.382233668002</v>
      </c>
      <c r="I26" s="74"/>
    </row>
    <row r="27" spans="1:9" s="10" customFormat="1" ht="11.25" x14ac:dyDescent="0.2">
      <c r="A27" s="75"/>
      <c r="B27" s="76"/>
      <c r="C27" s="77">
        <f>C26/$F$44</f>
        <v>0.30115850843115582</v>
      </c>
      <c r="D27" s="78"/>
      <c r="E27" s="78">
        <v>0.24</v>
      </c>
      <c r="F27" s="78">
        <v>0.24</v>
      </c>
      <c r="G27" s="78">
        <v>0.26</v>
      </c>
      <c r="H27" s="78">
        <v>0.26</v>
      </c>
      <c r="I27" s="92"/>
    </row>
    <row r="28" spans="1:9" s="10" customFormat="1" ht="11.25" x14ac:dyDescent="0.2">
      <c r="A28" s="71" t="s">
        <v>39</v>
      </c>
      <c r="B28" s="72" t="s">
        <v>506</v>
      </c>
      <c r="C28" s="73">
        <f>'Planilha orçamentária'!J86+'Planilha orçamentária'!J95+'Planilha orçamentária'!J100</f>
        <v>47959.096436999993</v>
      </c>
      <c r="D28" s="73"/>
      <c r="E28" s="73"/>
      <c r="F28" s="73"/>
      <c r="G28" s="73">
        <f t="shared" ref="G28" si="17">G29*C28</f>
        <v>18224.456646059996</v>
      </c>
      <c r="H28" s="73">
        <f t="shared" ref="H28" si="18">H29*C28</f>
        <v>18224.456646059996</v>
      </c>
      <c r="I28" s="74">
        <f t="shared" ref="I28" si="19">I29*C28</f>
        <v>11510.183144879999</v>
      </c>
    </row>
    <row r="29" spans="1:9" s="10" customFormat="1" ht="11.25" x14ac:dyDescent="0.2">
      <c r="A29" s="75"/>
      <c r="B29" s="76"/>
      <c r="C29" s="77">
        <f>C28/$F$44</f>
        <v>7.0577713636863298E-2</v>
      </c>
      <c r="D29" s="78"/>
      <c r="E29" s="78"/>
      <c r="F29" s="78"/>
      <c r="G29" s="78">
        <v>0.38</v>
      </c>
      <c r="H29" s="78">
        <v>0.38</v>
      </c>
      <c r="I29" s="92">
        <v>0.24</v>
      </c>
    </row>
    <row r="30" spans="1:9" s="10" customFormat="1" ht="11.25" x14ac:dyDescent="0.2">
      <c r="A30" s="71" t="s">
        <v>43</v>
      </c>
      <c r="B30" s="72" t="s">
        <v>508</v>
      </c>
      <c r="C30" s="73">
        <f>'Planilha orçamentária'!J105+'Planilha orçamentária'!J107+'Planilha orçamentária'!J121+'Planilha orçamentária'!J126+'Planilha orçamentária'!J134</f>
        <v>48921.877014999998</v>
      </c>
      <c r="D30" s="73"/>
      <c r="E30" s="73"/>
      <c r="F30" s="73"/>
      <c r="G30" s="73">
        <f t="shared" ref="G30" si="20">G31*C30</f>
        <v>11741.250483599999</v>
      </c>
      <c r="H30" s="73">
        <f t="shared" ref="H30" si="21">H31*C30</f>
        <v>14187.344334349998</v>
      </c>
      <c r="I30" s="74">
        <f t="shared" ref="I30" si="22">I31*C30</f>
        <v>22993.282197049997</v>
      </c>
    </row>
    <row r="31" spans="1:9" s="10" customFormat="1" ht="11.25" x14ac:dyDescent="0.2">
      <c r="A31" s="75"/>
      <c r="B31" s="76"/>
      <c r="C31" s="77">
        <f>C30/$F$44</f>
        <v>7.1994563764940248E-2</v>
      </c>
      <c r="D31" s="78"/>
      <c r="E31" s="78"/>
      <c r="F31" s="78"/>
      <c r="G31" s="78">
        <v>0.24</v>
      </c>
      <c r="H31" s="78">
        <v>0.28999999999999998</v>
      </c>
      <c r="I31" s="92">
        <v>0.47</v>
      </c>
    </row>
    <row r="32" spans="1:9" s="10" customFormat="1" ht="11.25" x14ac:dyDescent="0.2">
      <c r="A32" s="71" t="s">
        <v>255</v>
      </c>
      <c r="B32" s="72" t="s">
        <v>552</v>
      </c>
      <c r="C32" s="73">
        <f>'Planilha orçamentária'!J146+'Planilha orçamentária'!J165+'Planilha orçamentária'!J176+'Planilha orçamentária'!J185+'Planilha orçamentária'!J190</f>
        <v>64608.954993500003</v>
      </c>
      <c r="D32" s="73"/>
      <c r="E32" s="73"/>
      <c r="F32" s="73"/>
      <c r="G32" s="73">
        <f t="shared" ref="G32" si="23">G33*C32</f>
        <v>21967.044697790003</v>
      </c>
      <c r="H32" s="73">
        <f t="shared" ref="H32" si="24">H33*C32</f>
        <v>16152.238748375001</v>
      </c>
      <c r="I32" s="74">
        <f t="shared" ref="I32" si="25">I33*C32</f>
        <v>26489.671547335001</v>
      </c>
    </row>
    <row r="33" spans="1:10" s="10" customFormat="1" ht="11.25" x14ac:dyDescent="0.2">
      <c r="A33" s="75"/>
      <c r="B33" s="76"/>
      <c r="C33" s="77">
        <f>C32/$F$44</f>
        <v>9.5080029914622652E-2</v>
      </c>
      <c r="D33" s="78"/>
      <c r="E33" s="78"/>
      <c r="F33" s="78"/>
      <c r="G33" s="78">
        <v>0.34</v>
      </c>
      <c r="H33" s="78">
        <v>0.25</v>
      </c>
      <c r="I33" s="92">
        <v>0.41</v>
      </c>
    </row>
    <row r="34" spans="1:10" s="10" customFormat="1" ht="11.25" x14ac:dyDescent="0.2">
      <c r="A34" s="71" t="s">
        <v>257</v>
      </c>
      <c r="B34" s="72" t="s">
        <v>556</v>
      </c>
      <c r="C34" s="73">
        <f>'Planilha orçamentária'!J194</f>
        <v>3095.203215</v>
      </c>
      <c r="D34" s="73"/>
      <c r="E34" s="73"/>
      <c r="F34" s="73"/>
      <c r="G34" s="73"/>
      <c r="H34" s="73"/>
      <c r="I34" s="74">
        <f t="shared" ref="I34" si="26">I35*C34</f>
        <v>3095.203215</v>
      </c>
    </row>
    <row r="35" spans="1:10" s="10" customFormat="1" ht="11.25" x14ac:dyDescent="0.2">
      <c r="A35" s="75"/>
      <c r="B35" s="76"/>
      <c r="C35" s="77">
        <f>C34/$F$44</f>
        <v>4.5549725158632193E-3</v>
      </c>
      <c r="D35" s="78"/>
      <c r="E35" s="78"/>
      <c r="F35" s="78"/>
      <c r="G35" s="78"/>
      <c r="H35" s="78"/>
      <c r="I35" s="92">
        <v>1</v>
      </c>
    </row>
    <row r="36" spans="1:10" s="10" customFormat="1" ht="11.25" x14ac:dyDescent="0.2">
      <c r="A36" s="71" t="s">
        <v>259</v>
      </c>
      <c r="B36" s="72" t="s">
        <v>258</v>
      </c>
      <c r="C36" s="73">
        <f>'Planilha orçamentária'!J199</f>
        <v>5761.4040934499999</v>
      </c>
      <c r="D36" s="73"/>
      <c r="E36" s="73"/>
      <c r="F36" s="73"/>
      <c r="G36" s="73"/>
      <c r="H36" s="73"/>
      <c r="I36" s="74">
        <f t="shared" ref="I36" si="27">I37*C36</f>
        <v>5761.4040934499999</v>
      </c>
    </row>
    <row r="37" spans="1:10" s="10" customFormat="1" ht="11.25" x14ac:dyDescent="0.2">
      <c r="A37" s="75"/>
      <c r="B37" s="76"/>
      <c r="C37" s="77">
        <f>C36/$F$44</f>
        <v>8.4786152880907354E-3</v>
      </c>
      <c r="D37" s="78"/>
      <c r="E37" s="78"/>
      <c r="F37" s="78"/>
      <c r="G37" s="78"/>
      <c r="H37" s="78"/>
      <c r="I37" s="92">
        <v>1</v>
      </c>
    </row>
    <row r="38" spans="1:10" s="10" customFormat="1" ht="11.25" x14ac:dyDescent="0.2">
      <c r="A38" s="71" t="s">
        <v>260</v>
      </c>
      <c r="B38" s="72" t="s">
        <v>288</v>
      </c>
      <c r="C38" s="73">
        <f>'Planilha orçamentária'!J204</f>
        <v>1634.8422601</v>
      </c>
      <c r="D38" s="73"/>
      <c r="E38" s="73"/>
      <c r="F38" s="73"/>
      <c r="G38" s="73"/>
      <c r="H38" s="73"/>
      <c r="I38" s="74">
        <f t="shared" ref="I38" si="28">I39*C38</f>
        <v>1634.8422601</v>
      </c>
    </row>
    <row r="39" spans="1:10" s="10" customFormat="1" ht="11.25" x14ac:dyDescent="0.2">
      <c r="A39" s="75"/>
      <c r="B39" s="76"/>
      <c r="C39" s="77">
        <f>C38/$F$44</f>
        <v>2.4058716165837302E-3</v>
      </c>
      <c r="D39" s="78"/>
      <c r="E39" s="78"/>
      <c r="F39" s="78"/>
      <c r="G39" s="78"/>
      <c r="H39" s="78"/>
      <c r="I39" s="92">
        <v>1</v>
      </c>
    </row>
    <row r="40" spans="1:10" s="10" customFormat="1" ht="11.25" x14ac:dyDescent="0.2">
      <c r="A40" s="184" t="s">
        <v>665</v>
      </c>
      <c r="B40" s="185"/>
      <c r="C40" s="185"/>
      <c r="D40" s="80">
        <f>(D14+D16+D18+D20+D22+D24+D26+D28+D30+D32+D34+D36+D38)/$F$44</f>
        <v>0.1382281941800009</v>
      </c>
      <c r="E40" s="80">
        <f t="shared" ref="E40:I40" si="29">(E14+E16+E18+E20+E22+E24+E26+E28+E30+E32+E34+E36+E38)/$F$44</f>
        <v>0.22388274049737303</v>
      </c>
      <c r="F40" s="80">
        <f t="shared" si="29"/>
        <v>0.22819487420146198</v>
      </c>
      <c r="G40" s="80">
        <f t="shared" si="29"/>
        <v>0.15472664884866591</v>
      </c>
      <c r="H40" s="80">
        <f t="shared" si="29"/>
        <v>0.14976917434459688</v>
      </c>
      <c r="I40" s="81">
        <f t="shared" si="29"/>
        <v>0.10519836792790208</v>
      </c>
      <c r="J40" s="79"/>
    </row>
    <row r="41" spans="1:10" x14ac:dyDescent="0.25">
      <c r="A41" s="186" t="s">
        <v>666</v>
      </c>
      <c r="B41" s="187"/>
      <c r="C41" s="187"/>
      <c r="D41" s="82">
        <f>D40*$F$44</f>
        <v>93929.074113963492</v>
      </c>
      <c r="E41" s="82">
        <f t="shared" ref="E41:I41" si="30">E40*$F$44</f>
        <v>152133.20733707113</v>
      </c>
      <c r="F41" s="82">
        <f t="shared" si="30"/>
        <v>155063.39628067589</v>
      </c>
      <c r="G41" s="82">
        <f t="shared" si="30"/>
        <v>105140.13406111799</v>
      </c>
      <c r="H41" s="82">
        <f t="shared" si="30"/>
        <v>101771.42196245299</v>
      </c>
      <c r="I41" s="83">
        <f t="shared" si="30"/>
        <v>71484.586457814992</v>
      </c>
    </row>
    <row r="42" spans="1:10" x14ac:dyDescent="0.25">
      <c r="A42" s="188" t="s">
        <v>667</v>
      </c>
      <c r="B42" s="189"/>
      <c r="C42" s="189"/>
      <c r="D42" s="84">
        <f>D40</f>
        <v>0.1382281941800009</v>
      </c>
      <c r="E42" s="84">
        <f>D42+E40</f>
        <v>0.36211093467737393</v>
      </c>
      <c r="F42" s="84">
        <f t="shared" ref="F42:I42" si="31">E42+F40</f>
        <v>0.59030580887883588</v>
      </c>
      <c r="G42" s="84">
        <f t="shared" si="31"/>
        <v>0.74503245772750182</v>
      </c>
      <c r="H42" s="84">
        <f t="shared" si="31"/>
        <v>0.89480163207209873</v>
      </c>
      <c r="I42" s="85">
        <f t="shared" si="31"/>
        <v>1.0000000000000009</v>
      </c>
    </row>
    <row r="43" spans="1:10" x14ac:dyDescent="0.25">
      <c r="A43" s="203" t="s">
        <v>668</v>
      </c>
      <c r="B43" s="204"/>
      <c r="C43" s="204"/>
      <c r="D43" s="86">
        <f>D41</f>
        <v>93929.074113963492</v>
      </c>
      <c r="E43" s="86">
        <f>D43+E41</f>
        <v>246062.28145103462</v>
      </c>
      <c r="F43" s="86">
        <f t="shared" ref="F43:I43" si="32">E43+F41</f>
        <v>401125.67773171049</v>
      </c>
      <c r="G43" s="86">
        <f t="shared" si="32"/>
        <v>506265.81179282849</v>
      </c>
      <c r="H43" s="86">
        <f t="shared" si="32"/>
        <v>608037.23375528143</v>
      </c>
      <c r="I43" s="87">
        <f t="shared" si="32"/>
        <v>679521.82021309645</v>
      </c>
    </row>
    <row r="44" spans="1:10" x14ac:dyDescent="0.25">
      <c r="A44" s="88"/>
      <c r="B44" s="89"/>
      <c r="C44" s="89"/>
      <c r="D44" s="197" t="s">
        <v>669</v>
      </c>
      <c r="E44" s="197"/>
      <c r="F44" s="198">
        <f>'Planilha orçamentária'!J209</f>
        <v>679521.82021309598</v>
      </c>
      <c r="G44" s="198"/>
      <c r="H44" s="198"/>
      <c r="I44" s="199"/>
    </row>
    <row r="45" spans="1:10" x14ac:dyDescent="0.25">
      <c r="A45" s="93"/>
      <c r="B45" s="94"/>
      <c r="C45" s="94"/>
      <c r="D45" s="94"/>
      <c r="E45" s="94"/>
      <c r="F45" s="94"/>
      <c r="G45" s="94"/>
      <c r="H45" s="94"/>
      <c r="I45" s="95"/>
    </row>
    <row r="46" spans="1:10" x14ac:dyDescent="0.25">
      <c r="A46" s="93"/>
      <c r="B46" s="94"/>
      <c r="C46" s="94"/>
      <c r="D46" s="94"/>
      <c r="E46" s="94"/>
      <c r="F46" s="94"/>
      <c r="G46" s="94"/>
      <c r="H46" s="94"/>
      <c r="I46" s="95"/>
    </row>
    <row r="47" spans="1:10" x14ac:dyDescent="0.25">
      <c r="A47" s="93"/>
      <c r="B47" s="94"/>
      <c r="C47" s="94"/>
      <c r="D47" s="94"/>
      <c r="E47" s="94"/>
      <c r="F47" s="94"/>
      <c r="G47" s="94"/>
      <c r="H47" s="94"/>
      <c r="I47" s="95"/>
    </row>
    <row r="48" spans="1:10" x14ac:dyDescent="0.25">
      <c r="A48" s="200" t="s">
        <v>670</v>
      </c>
      <c r="B48" s="201"/>
      <c r="C48" s="201"/>
      <c r="D48" s="201"/>
      <c r="E48" s="201"/>
      <c r="F48" s="201"/>
      <c r="G48" s="201"/>
      <c r="H48" s="201"/>
      <c r="I48" s="202"/>
    </row>
    <row r="49" spans="1:9" x14ac:dyDescent="0.25">
      <c r="A49" s="175" t="s">
        <v>673</v>
      </c>
      <c r="B49" s="176"/>
      <c r="C49" s="176"/>
      <c r="D49" s="176"/>
      <c r="E49" s="176"/>
      <c r="F49" s="176"/>
      <c r="G49" s="176"/>
      <c r="H49" s="176"/>
      <c r="I49" s="177"/>
    </row>
    <row r="50" spans="1:9" x14ac:dyDescent="0.25">
      <c r="A50" s="96"/>
      <c r="B50" s="97"/>
      <c r="C50" s="97"/>
      <c r="D50" s="97"/>
      <c r="E50" s="97"/>
      <c r="F50" s="97"/>
      <c r="G50" s="97"/>
      <c r="H50" s="97"/>
      <c r="I50" s="98"/>
    </row>
  </sheetData>
  <mergeCells count="17">
    <mergeCell ref="D44:E44"/>
    <mergeCell ref="F44:I44"/>
    <mergeCell ref="A48:I48"/>
    <mergeCell ref="A49:I49"/>
    <mergeCell ref="A43:C43"/>
    <mergeCell ref="A1:I8"/>
    <mergeCell ref="A12:I12"/>
    <mergeCell ref="A40:C40"/>
    <mergeCell ref="A41:C41"/>
    <mergeCell ref="A42:C42"/>
    <mergeCell ref="A10:B10"/>
    <mergeCell ref="D10:E10"/>
    <mergeCell ref="F10:I10"/>
    <mergeCell ref="A11:B11"/>
    <mergeCell ref="D11:E11"/>
    <mergeCell ref="F11:I11"/>
    <mergeCell ref="A9:I9"/>
  </mergeCells>
  <pageMargins left="0.51181102362204722" right="0.51181102362204722" top="0.78740157480314965" bottom="0.78740157480314965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Memória de Cálculo </vt:lpstr>
      <vt:lpstr>Cronograma físico financeiro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Junior</dc:creator>
  <cp:lastModifiedBy>Luiz andré Portela da silva filho Portela</cp:lastModifiedBy>
  <cp:lastPrinted>2019-08-29T21:20:55Z</cp:lastPrinted>
  <dcterms:created xsi:type="dcterms:W3CDTF">2018-05-30T14:47:24Z</dcterms:created>
  <dcterms:modified xsi:type="dcterms:W3CDTF">2019-08-29T21:21:54Z</dcterms:modified>
</cp:coreProperties>
</file>